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v+aXdT6Z9biPmb8ipSU3ax02mlus5nRkb8ny6BQhXqSua40PlsSsIn8iBUefzKz/BiUxuCtd8mGGBrd3M53dbw==" workbookSaltValue="RQ5UPoHRn7yYehEdCRSw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AE19" i="8"/>
  <c r="F17" i="16"/>
  <c r="BL17" i="16" s="1"/>
  <c r="EP19" i="8"/>
  <c r="ER19" i="13"/>
  <c r="AL13" i="16"/>
  <c r="S13" i="16"/>
  <c r="H18" i="16"/>
  <c r="P13" i="16"/>
  <c r="AN13" i="20"/>
  <c r="F15" i="17"/>
  <c r="F17" i="17"/>
  <c r="AQ17" i="17" s="1"/>
  <c r="F9" i="2"/>
  <c r="M13" i="2"/>
  <c r="N13" i="2"/>
  <c r="AL11" i="11"/>
  <c r="AO9" i="11"/>
  <c r="E11" i="6"/>
  <c r="AC10" i="11"/>
  <c r="H13" i="12"/>
  <c r="T19" i="8"/>
  <c r="AJ19" i="8"/>
  <c r="T13" i="12"/>
  <c r="AY18" i="8"/>
  <c r="BF15" i="8"/>
  <c r="AZ18" i="13"/>
  <c r="BD12" i="8"/>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E18" i="2"/>
  <c r="AO17" i="11"/>
  <c r="L16" i="14"/>
  <c r="BG16" i="8"/>
  <c r="S19" i="8"/>
  <c r="AW18" i="21"/>
  <c r="G16" i="3"/>
  <c r="Z19" i="8"/>
  <c r="Z13" i="17"/>
  <c r="BG12" i="8"/>
  <c r="BE12" i="8"/>
  <c r="AB19" i="8"/>
  <c r="H12" i="7"/>
  <c r="C11" i="6"/>
  <c r="I11" i="12" s="1"/>
  <c r="AO16" i="11"/>
  <c r="AL10" i="11"/>
  <c r="B12" i="6"/>
  <c r="L12" i="14"/>
  <c r="B17" i="6"/>
  <c r="C17" i="6"/>
  <c r="M18" i="2"/>
  <c r="N18" i="2"/>
  <c r="N19" i="2" s="1"/>
  <c r="BE12" i="13"/>
  <c r="F16" i="17"/>
  <c r="AQ16" i="17" s="1"/>
  <c r="BG16" i="13"/>
  <c r="BD16" i="13"/>
  <c r="BE16" i="13"/>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AU20" i="17"/>
  <c r="BP20" i="16"/>
  <c r="U17" i="11"/>
  <c r="BR20" i="16"/>
  <c r="B19" i="7" l="1"/>
  <c r="D19" i="12"/>
  <c r="I12" i="12"/>
  <c r="Y13" i="11"/>
  <c r="G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<sst xmlns="http://schemas.openxmlformats.org/spreadsheetml/2006/main" count="2102" uniqueCount="918">
  <si>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</si>
  <si>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</si>
  <si>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</si>
  <si>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</si>
  <si>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</si>
  <si>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</si>
  <si>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</si>
  <si>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</si>
  <si>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</si>
  <si>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</si>
  <si>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</si>
  <si>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</si>
  <si>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</si>
  <si>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</si>
  <si>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</si>
  <si>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</si>
  <si>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</si>
  <si>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</si>
  <si>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</si>
  <si>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</si>
  <si>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</si>
  <si>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</si>
  <si>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</si>
  <si>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</si>
  <si>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</si>
  <si>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</si>
  <si>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</si>
  <si>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</si>
  <si>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</si>
  <si>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</si>
  <si>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</si>
  <si>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</si>
  <si>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</si>
  <si>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</si>
  <si>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</si>
  <si>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</si>
  <si>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</si>
  <si>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</si>
  <si>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</si>
  <si>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</si>
  <si>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</si>
  <si>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</si>
  <si>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</si>
  <si>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</si>
  <si>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</si>
  <si>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</si>
  <si>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</si>
  <si>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</si>
  <si>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</si>
  <si>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</si>
  <si>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</si>
  <si>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</si>
  <si>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</si>
  <si>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</si>
  <si>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</si>
  <si>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</si>
  <si>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</si>
  <si>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</si>
  <si>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</si>
  <si>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</si>
  <si>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</si>
  <si>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</si>
  <si>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</si>
  <si>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</si>
  <si>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</si>
  <si>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</si>
  <si>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</si>
  <si>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</si>
  <si>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</si>
  <si>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</si>
  <si>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</si>
  <si>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</si>
  <si>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</si>
  <si>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</si>
  <si>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</si>
  <si>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</si>
  <si>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</si>
  <si>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</si>
  <si>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</si>
  <si>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</si>
  <si>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</si>
  <si>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</si>
  <si>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</si>
  <si>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</si>
  <si>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</si>
  <si>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</si>
  <si>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</si>
  <si>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</si>
  <si>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</si>
  <si>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</si>
  <si>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</si>
  <si>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</si>
  <si>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</si>
  <si>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</si>
  <si>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</si>
  <si>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</si>
  <si>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</si>
  <si>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</si>
  <si>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</si>
  <si>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</si>
  <si>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</si>
  <si>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</si>
  <si>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</si>
  <si>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</si>
  <si>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</si>
  <si>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</si>
  <si>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</si>
  <si>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</si>
  <si>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</si>
  <si>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</si>
  <si>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</si>
  <si>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</si>
  <si>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</si>
  <si>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</si>
  <si>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</si>
  <si>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</si>
  <si>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</si>
  <si>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</si>
  <si>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</si>
  <si>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</si>
  <si>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</si>
  <si>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</si>
  <si>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</si>
  <si>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</si>
  <si>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</si>
  <si>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</si>
  <si>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</si>
  <si>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</si>
  <si>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</si>
  <si>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</si>
  <si>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</si>
  <si>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</si>
  <si>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</si>
  <si>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</si>
  <si>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</si>
  <si>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</si>
  <si>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</si>
  <si>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</si>
  <si>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</si>
  <si>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</si>
  <si>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</si>
  <si>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</si>
  <si>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</si>
  <si>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</si>
  <si>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</si>
  <si>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</si>
  <si>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</si>
  <si>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</si>
  <si>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</si>
  <si>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</si>
  <si>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</si>
  <si>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</si>
  <si>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</si>
  <si>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</si>
  <si>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</si>
  <si>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</si>
  <si>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</si>
  <si>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</si>
  <si>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</si>
  <si>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</si>
  <si>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</si>
  <si>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</si>
  <si>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</si>
  <si>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</si>
  <si>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</si>
  <si>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</si>
  <si>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</si>
  <si>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</si>
  <si>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</si>
  <si>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</si>
  <si>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</si>
  <si>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</si>
  <si>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</si>
  <si>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</si>
  <si>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</si>
  <si>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</si>
  <si>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</si>
  <si>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</si>
  <si>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</si>
  <si>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</si>
  <si>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</si>
  <si>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</si>
  <si>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</si>
  <si>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</si>
  <si>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</si>
  <si>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</si>
  <si>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</si>
  <si>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</si>
  <si>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</si>
  <si>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</si>
  <si>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</si>
  <si>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</si>
  <si>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</si>
  <si>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</si>
  <si>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</si>
  <si>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</si>
  <si>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</si>
  <si>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</si>
  <si>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</si>
  <si>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</si>
  <si>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</si>
  <si>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</si>
  <si>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</si>
  <si>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</si>
  <si>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</si>
  <si>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</si>
  <si>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</si>
  <si>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</si>
  <si>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</si>
  <si>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</si>
  <si>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</si>
  <si>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</si>
  <si>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</si>
  <si>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</si>
  <si>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</si>
  <si>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</si>
  <si>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</si>
  <si>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</si>
  <si>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</si>
  <si>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</si>
  <si>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</si>
  <si>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</si>
  <si>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</si>
  <si>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</si>
  <si>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</si>
  <si>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</si>
  <si>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</si>
  <si>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</si>
  <si>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</si>
  <si>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</si>
  <si>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</si>
  <si>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</si>
  <si>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</si>
  <si>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</si>
  <si>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</si>
  <si>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</si>
  <si>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</si>
  <si>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</si>
  <si>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</si>
  <si>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</si>
  <si>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</si>
  <si>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</si>
  <si>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</si>
  <si>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</si>
  <si>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</si>
  <si>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</si>
  <si>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</si>
  <si>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</si>
  <si>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</si>
  <si>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</si>
  <si>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</si>
  <si>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</si>
  <si>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</si>
  <si>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</si>
  <si>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</si>
  <si>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</si>
  <si>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</si>
  <si>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</si>
  <si>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</si>
  <si>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</si>
  <si>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</si>
  <si>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</si>
  <si>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</si>
  <si>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</si>
  <si>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</si>
  <si>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</si>
  <si>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</si>
  <si>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</si>
  <si>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</si>
  <si>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</si>
  <si>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</si>
  <si>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</si>
  <si>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</si>
  <si>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</si>
  <si>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</si>
  <si>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</si>
  <si>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</si>
  <si>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</si>
  <si>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</si>
  <si>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</si>
  <si>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</si>
  <si>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</si>
  <si>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</si>
  <si>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</si>
  <si>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</si>
  <si>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</si>
  <si>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</si>
  <si>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</si>
  <si>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</si>
  <si>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</si>
  <si>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</si>
  <si>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</si>
  <si>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</si>
  <si>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</si>
  <si>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</si>
  <si>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</si>
  <si>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</si>
  <si>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</si>
  <si>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</si>
  <si>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</si>
  <si>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</si>
  <si>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</si>
  <si>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</si>
  <si>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</si>
  <si>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</si>
  <si>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</si>
  <si>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</si>
  <si>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</si>
  <si>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</si>
  <si>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</si>
  <si>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</si>
  <si>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</si>
  <si>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</si>
  <si>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</si>
  <si>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</si>
  <si>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</si>
  <si>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</si>
  <si>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</si>
  <si>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</si>
  <si>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</si>
  <si>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</si>
  <si>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</si>
  <si>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</si>
  <si>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</si>
  <si>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</si>
  <si>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</si>
  <si>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</si>
  <si>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</si>
  <si>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</si>
  <si>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</si>
  <si>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</si>
  <si>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</si>
  <si>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</si>
  <si>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</si>
  <si>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</si>
  <si>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</si>
  <si>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</si>
  <si>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</si>
  <si>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</si>
  <si>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</si>
  <si>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</si>
  <si>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</si>
  <si>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</si>
  <si>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</si>
  <si>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</si>
  <si>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</si>
  <si>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</si>
  <si>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</si>
  <si>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</si>
  <si>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</si>
  <si>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</si>
  <si>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</si>
  <si>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</si>
  <si>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</si>
  <si>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</si>
  <si>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</si>
  <si>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</si>
  <si>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</si>
  <si>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</si>
  <si>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</si>
  <si>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</si>
  <si>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</si>
  <si>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</si>
  <si>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</si>
  <si>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</si>
  <si>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</si>
  <si>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</si>
  <si>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</si>
  <si>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</si>
  <si>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</si>
  <si>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</si>
  <si>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</si>
  <si>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</si>
  <si>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</si>
  <si>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</si>
  <si>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</si>
  <si>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</si>
  <si>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</si>
  <si>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</si>
  <si>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</si>
  <si>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</si>
  <si>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</si>
  <si>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</si>
  <si>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</si>
  <si>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</si>
  <si>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</si>
  <si>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</si>
  <si>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</si>
  <si>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</si>
  <si>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</si>
  <si>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</si>
  <si>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</si>
  <si>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</si>
  <si>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</si>
  <si>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</si>
  <si>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</si>
  <si>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</si>
  <si>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</si>
  <si>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</si>
  <si>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</si>
  <si>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</si>
  <si>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</si>
  <si>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</si>
  <si>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</si>
  <si>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</si>
  <si>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</si>
  <si>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</si>
  <si>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</si>
  <si>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</si>
  <si>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</si>
  <si>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</si>
  <si>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</si>
  <si>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</si>
  <si>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</si>
  <si>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</si>
  <si>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</si>
  <si>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</si>
  <si>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</si>
  <si>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</si>
  <si>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</si>
  <si>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</si>
  <si>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</si>
  <si>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</si>
  <si>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</si>
  <si>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</si>
  <si>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</si>
  <si>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</si>
  <si>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</si>
  <si>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</si>
  <si>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</si>
  <si>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</si>
  <si>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</si>
  <si>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</si>
  <si>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</si>
  <si>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</si>
  <si>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</si>
  <si>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</si>
  <si>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</si>
  <si>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</si>
  <si>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</si>
  <si>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</si>
  <si>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</si>
  <si>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</si>
  <si>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</si>
  <si>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</si>
  <si>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</si>
  <si>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</si>
  <si>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</si>
  <si>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</si>
  <si>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</si>
  <si>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</si>
  <si>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</si>
  <si>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</si>
  <si>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</si>
  <si>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</si>
  <si>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</si>
  <si>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</si>
  <si>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</si>
  <si>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</si>
  <si>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</si>
  <si>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</si>
  <si>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</si>
  <si>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</si>
  <si>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</si>
  <si>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</si>
  <si>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</si>
  <si>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</si>
  <si>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</si>
  <si>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</si>
  <si>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</si>
  <si>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</si>
  <si>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</si>
  <si>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</si>
  <si>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</si>
  <si>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</si>
  <si>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</si>
  <si>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</si>
  <si>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</si>
  <si>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</si>
  <si>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</si>
  <si>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</si>
  <si>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</si>
  <si>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</si>
  <si>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</si>
  <si>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</si>
  <si>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</si>
  <si>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</si>
  <si>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</si>
  <si>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</si>
  <si>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</si>
  <si>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</si>
  <si>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</si>
  <si>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</si>
  <si>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</si>
  <si>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</si>
  <si>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</si>
  <si>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</si>
  <si>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</si>
  <si>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</si>
  <si>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</si>
  <si>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</si>
  <si>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</si>
  <si>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</si>
  <si>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</si>
  <si>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</si>
  <si>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</si>
  <si>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</si>
  <si>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</si>
  <si>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</si>
  <si>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</si>
  <si>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</si>
  <si>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</si>
  <si>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</si>
  <si>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</si>
  <si>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</si>
  <si>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</si>
  <si>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</si>
  <si>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</si>
  <si>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</si>
  <si>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</si>
  <si>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</si>
  <si>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</si>
  <si>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</si>
  <si>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</si>
  <si>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</si>
  <si>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</si>
  <si>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</si>
  <si>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</si>
  <si>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</si>
  <si>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</si>
  <si>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</si>
  <si>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</si>
  <si>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</si>
  <si>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</si>
  <si>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</si>
  <si>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</si>
  <si>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</si>
  <si>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</si>
  <si>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</si>
  <si>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</si>
  <si>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</si>
  <si>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</si>
  <si>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</si>
  <si>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</si>
  <si>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</si>
  <si>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</si>
  <si>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</si>
  <si>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</si>
  <si>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</si>
  <si>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</si>
  <si>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</si>
  <si>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</si>
  <si>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</si>
  <si>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</si>
  <si>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</si>
  <si>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</si>
  <si>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</si>
  <si>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</si>
  <si>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</si>
  <si>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</si>
  <si>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</si>
  <si>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</si>
  <si>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</si>
  <si>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</si>
  <si>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</si>
  <si>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</si>
  <si>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</si>
  <si>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</si>
  <si>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</si>
  <si>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</si>
  <si>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</si>
  <si>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</si>
  <si>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</si>
  <si>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</si>
  <si>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</si>
  <si>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</si>
  <si>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</si>
  <si>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</si>
  <si>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</si>
  <si>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</si>
  <si>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</si>
  <si>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</si>
  <si>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</si>
  <si>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</si>
  <si>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</si>
  <si>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</si>
  <si>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</si>
  <si>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</si>
  <si>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</si>
  <si>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</si>
  <si>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</si>
  <si>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</si>
  <si>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</si>
  <si>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</si>
  <si>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</si>
  <si>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</si>
  <si>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</si>
  <si>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</si>
  <si>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</si>
  <si>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</si>
  <si>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</si>
  <si>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</si>
  <si>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</si>
  <si>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</si>
  <si>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</si>
  <si>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</si>
  <si>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</si>
  <si>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</si>
  <si>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</si>
  <si>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</si>
  <si>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</si>
  <si>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</si>
  <si>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</si>
  <si>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</si>
  <si>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</si>
  <si>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</si>
  <si>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</si>
  <si>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</si>
  <si>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</si>
  <si>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</si>
  <si>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</si>
  <si>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</si>
  <si>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</si>
  <si>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</si>
  <si>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</si>
  <si>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</si>
  <si>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</si>
  <si>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</si>
  <si>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</si>
  <si>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</si>
  <si>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</si>
  <si>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</si>
  <si>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</si>
  <si>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</si>
  <si>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</si>
  <si>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</si>
  <si>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</si>
  <si>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</si>
  <si>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</si>
  <si>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</si>
  <si>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</si>
  <si>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</si>
  <si>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</si>
  <si>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</si>
  <si>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</si>
  <si>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</si>
  <si>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</si>
  <si>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</si>
  <si>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</si>
  <si>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</si>
  <si>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</si>
  <si>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</si>
  <si>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</si>
  <si>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</si>
  <si>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</si>
  <si>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</si>
  <si>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</si>
  <si>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</si>
  <si>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</si>
  <si>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</si>
  <si>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</si>
  <si>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</si>
  <si>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</si>
  <si>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</si>
  <si>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</si>
  <si>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</si>
  <si>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</si>
  <si>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</si>
  <si>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</si>
  <si>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</si>
  <si>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</si>
  <si>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</si>
  <si>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</si>
  <si>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</si>
  <si>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</si>
  <si>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</si>
  <si>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</si>
  <si>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</si>
  <si>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</si>
  <si>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</si>
  <si>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</si>
  <si>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</si>
  <si>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</si>
  <si>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</si>
  <si>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</si>
  <si>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</si>
  <si>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</si>
  <si>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</si>
  <si>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</si>
  <si>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</si>
  <si>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</si>
  <si>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</si>
  <si>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</si>
  <si>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</si>
  <si>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</si>
  <si>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</si>
  <si>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</si>
  <si>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</si>
  <si>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</si>
  <si>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</si>
  <si>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</si>
  <si>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</si>
  <si>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</si>
  <si>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</si>
  <si>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</si>
  <si>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</si>
  <si>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</si>
  <si>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</si>
  <si>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</si>
  <si>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</si>
  <si>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</si>
  <si>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</si>
  <si>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</si>
  <si>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</si>
  <si>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</si>
  <si>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</si>
  <si>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</si>
  <si>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</si>
  <si>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</si>
  <si>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</si>
  <si>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</si>
  <si>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</si>
  <si>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</si>
  <si>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</si>
  <si>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</si>
  <si>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</si>
  <si>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</si>
  <si>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</si>
  <si>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</si>
  <si>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</si>
  <si>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</si>
  <si>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</si>
  <si>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</si>
  <si>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</si>
  <si>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</si>
  <si>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</si>
  <si>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</si>
  <si>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</si>
  <si>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</si>
  <si>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</si>
  <si>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</si>
  <si>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</si>
  <si>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</si>
  <si>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</si>
  <si>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</si>
  <si>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</si>
  <si>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</si>
  <si>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</si>
  <si>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</si>
  <si>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</si>
  <si>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</si>
  <si>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</si>
  <si>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</si>
  <si>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</si>
  <si>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</si>
  <si>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</si>
  <si>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</si>
  <si>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</si>
  <si>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</si>
  <si>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</si>
  <si>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</si>
  <si>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</si>
  <si>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</si>
  <si>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</si>
  <si>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</si>
  <si>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</si>
  <si>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</si>
  <si>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</si>
  <si>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</si>
  <si>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</si>
  <si>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</si>
  <si>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</si>
  <si>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</si>
  <si>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</si>
  <si>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</si>
  <si>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</si>
  <si>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</si>
  <si>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</si>
  <si>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</si>
  <si>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</si>
  <si>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</si>
  <si>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</si>
  <si>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</si>
  <si>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</si>
  <si>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</si>
  <si>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</si>
  <si>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</si>
  <si>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</si>
  <si>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</si>
  <si>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</si>
  <si>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</si>
  <si>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</si>
  <si>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</si>
  <si>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</si>
  <si>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</si>
  <si>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</si>
  <si>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</si>
  <si>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</si>
  <si>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</si>
  <si>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</si>
  <si>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</si>
  <si>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</si>
  <si>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</si>
  <si>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</si>
  <si>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</si>
  <si>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</si>
  <si>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</si>
  <si>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</si>
  <si>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</si>
  <si>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</si>
  <si>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</si>
  <si>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</si>
  <si>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</si>
  <si>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</si>
  <si>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</si>
  <si>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</si>
  <si>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</si>
  <si>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</si>
  <si>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</si>
  <si>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</si>
  <si>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</si>
  <si>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</si>
  <si>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</si>
  <si>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</si>
  <si>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</si>
  <si>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</si>
  <si>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</si>
  <si>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</si>
  <si>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</si>
  <si>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</si>
  <si>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</si>
  <si>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</si>
  <si>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</si>
  <si>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</si>
  <si>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</si>
  <si>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</si>
  <si>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</si>
  <si>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</si>
  <si>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</si>
  <si>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</si>
  <si>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</si>
  <si>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</si>
  <si>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</si>
  <si>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</si>
  <si>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</si>
  <si>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</si>
  <si>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</si>
  <si>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</si>
  <si>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</si>
  <si>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</si>
  <si>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</si>
  <si>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</si>
  <si>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</si>
  <si>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</si>
  <si>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</si>
  <si>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</si>
  <si>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</si>
  <si>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</si>
  <si>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</si>
  <si>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</si>
  <si>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</si>
  <si>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</si>
  <si>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</si>
  <si>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</si>
  <si>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</si>
  <si>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</si>
  <si>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</si>
  <si>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</si>
  <si>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</si>
  <si>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</si>
  <si>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</si>
  <si>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</si>
  <si>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</si>
  <si>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</si>
  <si>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</si>
  <si>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</si>
  <si>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</si>
  <si>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</si>
  <si>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</si>
  <si>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</si>
  <si>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</si>
  <si>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</si>
  <si>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</si>
  <si>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</si>
  <si>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</si>
  <si>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</si>
  <si>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</si>
  <si>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</si>
  <si>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</si>
  <si>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</si>
  <si>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</si>
  <si>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</si>
  <si>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</si>
  <si>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</si>
  <si>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</si>
  <si>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</si>
  <si>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</si>
  <si>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</si>
  <si>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</si>
  <si>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</si>
  <si>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</si>
  <si>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</si>
  <si>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</si>
  <si>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</si>
  <si>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</si>
  <si>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</si>
  <si>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</si>
  <si>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</si>
  <si>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</si>
  <si>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</si>
  <si>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</si>
  <si>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</si>
  <si>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</si>
  <si>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</si>
  <si>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</si>
  <si>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ALICANTE-ALACANT</t>
  </si>
  <si>
    <t>Resumenes por Partidos Judiciales</t>
  </si>
  <si>
    <t>NOVELDA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</si>
</sst>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81UAkfCVrTEm3zNX6lBJ232hfZk+WXuawcesf+raQ6mlu3CeCNh1JanB1/vVYCQquP3+gqs22QMK7yT1zwqKA==" saltValue="jN4Z8GeaKJw8imymqM47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5</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31.126235741444869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5</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1763</v>
      </c>
      <c r="D16" s="224">
        <f>IF(ISNUMBER(IF(D_I="SI",Datos!I16,Datos!I16+Datos!AC16)),IF(D_I="SI",Datos!I16,Datos!I16+Datos!AC16)," - ")</f>
        <v>1724</v>
      </c>
      <c r="E16" s="225">
        <f>IF(ISNUMBER(IF(D_I="SI",Datos!J16,Datos!J16+Datos!AD16)),IF(D_I="SI",Datos!J16,Datos!J16+Datos!AD16)," - ")</f>
        <v>875</v>
      </c>
      <c r="F16" s="225">
        <f>IF(ISNUMBER(IF(D_I="SI",Datos!K16,Datos!K16+Datos!AE16)),IF(D_I="SI",Datos!K16,Datos!K16+Datos!AE16)," - ")</f>
        <v>609</v>
      </c>
      <c r="G16" s="1033" t="str">
        <f>IF(Datos!E16&lt;&gt;"",Datos!E16,Datos!D16)</f>
        <v>04</v>
      </c>
      <c r="H16" s="226">
        <f>IF(ISNUMBER(IF(D_I="SI",Datos!L16,Datos!L16+Datos!AF16)),IF(D_I="SI",Datos!L16,Datos!L16+Datos!AF16)," - ")</f>
        <v>2029</v>
      </c>
      <c r="I16" s="1043" t="str">
        <f>IF(ISNUMBER(Datos!AS16/Datos!BM16),Datos!AS16/Datos!BM16," - ")</f>
        <v xml:space="preserve"> - </v>
      </c>
      <c r="J16" s="1044">
        <f>IF(ISNUMBER(Datos!BY16/Datos!CN16),Datos!BY16/Datos!CN16," - ")</f>
        <v>0</v>
      </c>
      <c r="K16" s="229">
        <f t="shared" si="3"/>
        <v>0.15087918321043675</v>
      </c>
      <c r="L16" s="1024">
        <f>IF(ISNUMBER(NºAsuntos!I16/NºAsuntos!G16),(NºAsuntos!I16/NºAsuntos!G16)*11," - ")</f>
        <v>36.648604269293919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v>
      </c>
      <c r="D17" s="224">
        <f>IF(ISNUMBER(IF(D_I="SI",Datos!I17,Datos!I17+Datos!AC17)),IF(D_I="SI",Datos!I17,Datos!I17+Datos!AC17)," - ")</f>
        <v>10</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0</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1773</v>
      </c>
      <c r="D18" s="1048">
        <f>SUBTOTAL(9,D15:D17)</f>
        <v>1734</v>
      </c>
      <c r="E18" s="1049">
        <f>SUBTOTAL(9,E15:E17)</f>
        <v>875</v>
      </c>
      <c r="F18" s="1049">
        <f>SUBTOTAL(9,F15:F17)</f>
        <v>609</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1773</v>
      </c>
      <c r="D19" s="1070">
        <f>SUBTOTAL(9,D9:D18)</f>
        <v>1739</v>
      </c>
      <c r="E19" s="1071">
        <f>SUBTOTAL(9,E9:E18)</f>
        <v>875</v>
      </c>
      <c r="F19" s="1071">
        <f>SUBTOTAL(9,F9:F18)</f>
        <v>609</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2jKjX+hTFsWXAoA4rN8tUxVQ59ATILmQeKXNt7j74Ab0WWslMIG723mwamf0yU+5WAEJSMkx03dWMoylXDJeww==" saltValue="8ZopL9iR8CZ5y8qw/htAy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ZsWFoP6Y89v10iftGa4N5cNUEY5V/NZcLsaTnvUDy3pVJIJiPek0eCZQId0eTsLYRtXcW/Xe7eTNiY+V4i8w==" saltValue="+mhlyErRC8pdaFcz22SM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0</v>
      </c>
      <c r="K10" s="180">
        <v>0</v>
      </c>
      <c r="L10" s="180">
        <v>0</v>
      </c>
      <c r="M10" s="180">
        <v>0</v>
      </c>
      <c r="N10" s="180">
        <v>0</v>
      </c>
      <c r="O10" s="180">
        <v>0</v>
      </c>
      <c r="P10" s="180">
        <v>0</v>
      </c>
      <c r="Q10" s="180">
        <v>0</v>
      </c>
      <c r="R10" s="180">
        <v>0</v>
      </c>
      <c r="S10" s="180">
        <v>9</v>
      </c>
      <c r="T10" s="180">
        <v>0</v>
      </c>
      <c r="U10" s="180">
        <v>4</v>
      </c>
      <c r="V10" s="180">
        <v>5</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0</v>
      </c>
      <c r="BA10" s="129">
        <f t="shared" si="0"/>
        <v>4</v>
      </c>
      <c r="BB10" s="129">
        <f t="shared" si="0"/>
        <v>5</v>
      </c>
      <c r="BC10" s="125">
        <f t="shared" si="0"/>
        <v>4</v>
      </c>
      <c r="BD10" s="126" t="str">
        <f>IF(ISNUMBER(BA10/AZ10),BA10/AZ10," - ")</f>
        <v xml:space="preserve"> - </v>
      </c>
      <c r="BE10" s="127">
        <f>IF(ISNUMBER(BB10/BA10),BB10/BA10, " - ")</f>
        <v>1.25</v>
      </c>
      <c r="BF10" s="127">
        <f>IF(ISNUMBER(BC10/BA10),BC10/BA10, " - ")</f>
        <v>1</v>
      </c>
      <c r="BG10" s="195">
        <f>IF(ISNUMBER((AY10+AZ10)/BA10),(AY10+AZ10)/BA10," - ")</f>
        <v>2.25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3861</v>
      </c>
      <c r="J12" s="182">
        <v>949</v>
      </c>
      <c r="K12" s="182">
        <v>1217</v>
      </c>
      <c r="L12" s="182">
        <v>3593</v>
      </c>
      <c r="M12" s="182">
        <v>277</v>
      </c>
      <c r="N12" s="182">
        <v>570</v>
      </c>
      <c r="O12" s="180">
        <v>575</v>
      </c>
      <c r="P12" s="182">
        <v>354</v>
      </c>
      <c r="Q12" s="182">
        <v>200</v>
      </c>
      <c r="R12" s="182">
        <v>7562</v>
      </c>
      <c r="S12" s="182">
        <v>4075</v>
      </c>
      <c r="T12" s="182">
        <v>1103</v>
      </c>
      <c r="U12" s="182">
        <v>1127</v>
      </c>
      <c r="V12" s="182">
        <v>4051</v>
      </c>
      <c r="W12" s="182">
        <v>274</v>
      </c>
      <c r="X12" s="188">
        <v>266</v>
      </c>
      <c r="Y12" s="190">
        <v>137</v>
      </c>
      <c r="Z12" s="180">
        <v>89</v>
      </c>
      <c r="AA12" s="180">
        <v>98</v>
      </c>
      <c r="AB12" s="180">
        <v>128</v>
      </c>
      <c r="AC12" s="182">
        <v>0</v>
      </c>
      <c r="AD12" s="182">
        <v>0</v>
      </c>
      <c r="AE12" s="182">
        <v>0</v>
      </c>
      <c r="AF12" s="188">
        <v>0</v>
      </c>
      <c r="AG12" s="201">
        <v>50</v>
      </c>
      <c r="AH12" s="182">
        <v>50</v>
      </c>
      <c r="AI12" s="182">
        <v>65</v>
      </c>
      <c r="AJ12" s="202">
        <v>35</v>
      </c>
      <c r="AK12" s="181">
        <v>0</v>
      </c>
      <c r="AL12" s="182">
        <v>0</v>
      </c>
      <c r="AM12" s="182">
        <v>0</v>
      </c>
      <c r="AN12" s="188">
        <v>0</v>
      </c>
      <c r="AO12" s="258">
        <v>4</v>
      </c>
      <c r="AP12" s="154">
        <v>4</v>
      </c>
      <c r="AQ12" s="154">
        <v>4</v>
      </c>
      <c r="AR12" s="153">
        <v>4</v>
      </c>
      <c r="AS12" s="339" t="s">
        <v>794</v>
      </c>
      <c r="AT12" s="202"/>
      <c r="AU12" s="201"/>
      <c r="AV12" s="202"/>
      <c r="AW12" s="201"/>
      <c r="AX12" s="202"/>
      <c r="AY12" s="126">
        <f t="shared" si="1"/>
        <v>4125</v>
      </c>
      <c r="AZ12" s="127">
        <f t="shared" si="1"/>
        <v>1153</v>
      </c>
      <c r="BA12" s="127">
        <f t="shared" si="1"/>
        <v>1192</v>
      </c>
      <c r="BB12" s="127">
        <f t="shared" si="1"/>
        <v>4086</v>
      </c>
      <c r="BC12" s="125">
        <f>IF(ISNUMBER(X12),X12," - ")</f>
        <v>266</v>
      </c>
      <c r="BD12" s="126">
        <f t="shared" si="2"/>
        <v>1.033824804856895</v>
      </c>
      <c r="BE12" s="127">
        <f t="shared" si="3"/>
        <v>3.4278523489932886</v>
      </c>
      <c r="BF12" s="127">
        <f t="shared" si="4"/>
        <v>0.22315436241610739</v>
      </c>
      <c r="BG12" s="195">
        <f t="shared" si="5"/>
        <v>4.4278523489932882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3866</v>
      </c>
      <c r="J13" s="183">
        <f t="shared" si="6"/>
        <v>949</v>
      </c>
      <c r="K13" s="183">
        <f t="shared" si="6"/>
        <v>1217</v>
      </c>
      <c r="L13" s="183">
        <f t="shared" si="6"/>
        <v>3593</v>
      </c>
      <c r="M13" s="183">
        <f t="shared" si="6"/>
        <v>277</v>
      </c>
      <c r="N13" s="183">
        <f t="shared" si="6"/>
        <v>570</v>
      </c>
      <c r="O13" s="183">
        <f t="shared" si="6"/>
        <v>575</v>
      </c>
      <c r="P13" s="183">
        <f t="shared" si="6"/>
        <v>354</v>
      </c>
      <c r="Q13" s="183">
        <f t="shared" si="6"/>
        <v>200</v>
      </c>
      <c r="R13" s="183">
        <f t="shared" si="6"/>
        <v>7562</v>
      </c>
      <c r="S13" s="183">
        <f t="shared" si="6"/>
        <v>4084</v>
      </c>
      <c r="T13" s="183">
        <f t="shared" si="6"/>
        <v>1103</v>
      </c>
      <c r="U13" s="183">
        <f t="shared" si="6"/>
        <v>1131</v>
      </c>
      <c r="V13" s="183">
        <f t="shared" si="6"/>
        <v>4056</v>
      </c>
      <c r="W13" s="183">
        <f t="shared" si="6"/>
        <v>278</v>
      </c>
      <c r="X13" s="183">
        <f t="shared" si="6"/>
        <v>266</v>
      </c>
      <c r="Y13" s="183">
        <f t="shared" si="6"/>
        <v>137</v>
      </c>
      <c r="Z13" s="183">
        <f t="shared" si="6"/>
        <v>89</v>
      </c>
      <c r="AA13" s="183">
        <f t="shared" si="6"/>
        <v>98</v>
      </c>
      <c r="AB13" s="183">
        <f t="shared" si="6"/>
        <v>128</v>
      </c>
      <c r="AC13" s="183">
        <f t="shared" si="6"/>
        <v>0</v>
      </c>
      <c r="AD13" s="183">
        <f t="shared" si="6"/>
        <v>0</v>
      </c>
      <c r="AE13" s="183">
        <f t="shared" si="6"/>
        <v>0</v>
      </c>
      <c r="AF13" s="183">
        <f>SUBTOTAL(9,AF9:AF12)</f>
        <v>0</v>
      </c>
      <c r="AG13" s="183">
        <f t="shared" ref="AG13:AT13" si="7">SUBTOTAL(9,AG8:AG12)</f>
        <v>50</v>
      </c>
      <c r="AH13" s="183">
        <f t="shared" si="7"/>
        <v>50</v>
      </c>
      <c r="AI13" s="183">
        <f t="shared" si="7"/>
        <v>65</v>
      </c>
      <c r="AJ13" s="183">
        <f t="shared" si="7"/>
        <v>35</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4134</v>
      </c>
      <c r="AZ13" s="183">
        <f>SUBTOTAL(9,AZ8:AZ12)</f>
        <v>1153</v>
      </c>
      <c r="BA13" s="183">
        <f>SUBTOTAL(9,BA8:BA12)</f>
        <v>1196</v>
      </c>
      <c r="BB13" s="183">
        <f>SUBTOTAL(9,BB8:BB12)</f>
        <v>4091</v>
      </c>
      <c r="BC13" s="183">
        <f>SUBTOTAL(9,BC8:BC12)</f>
        <v>270</v>
      </c>
      <c r="BD13" s="204">
        <f>IF(ISNUMBER(BA13/AZ13),BA13/AZ13," - ")</f>
        <v>1.0372940156114483</v>
      </c>
      <c r="BE13" s="205">
        <f>IF(ISNUMBER(BB13/BA13),BB13/BA13, " - ")</f>
        <v>3.4205685618729098</v>
      </c>
      <c r="BF13" s="205">
        <f>IF(ISNUMBER(BC13/BA13),BC13/BA13, " - ")</f>
        <v>0.225752508361204</v>
      </c>
      <c r="BG13" s="206">
        <f>IF(ISNUMBER((AY13+AZ13)/BA13),(AY13+AZ13)/BA13," - ")</f>
        <v>4.4205685618729094</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1724</v>
      </c>
      <c r="J16" s="182">
        <v>875</v>
      </c>
      <c r="K16" s="182">
        <v>609</v>
      </c>
      <c r="L16" s="182">
        <v>2029</v>
      </c>
      <c r="M16" s="182">
        <v>124</v>
      </c>
      <c r="N16" s="182">
        <v>376</v>
      </c>
      <c r="O16" s="180">
        <v>5</v>
      </c>
      <c r="P16" s="182">
        <v>26</v>
      </c>
      <c r="Q16" s="182">
        <v>40</v>
      </c>
      <c r="R16" s="182">
        <v>247</v>
      </c>
      <c r="S16" s="182">
        <v>1300</v>
      </c>
      <c r="T16" s="182">
        <v>691</v>
      </c>
      <c r="U16" s="182">
        <v>642</v>
      </c>
      <c r="V16" s="182">
        <v>1350</v>
      </c>
      <c r="W16" s="182">
        <v>132</v>
      </c>
      <c r="X16" s="188">
        <v>338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1300</v>
      </c>
      <c r="AZ16" s="127">
        <f t="shared" si="9"/>
        <v>691</v>
      </c>
      <c r="BA16" s="127">
        <f t="shared" si="9"/>
        <v>642</v>
      </c>
      <c r="BB16" s="127">
        <f t="shared" si="9"/>
        <v>1350</v>
      </c>
      <c r="BC16" s="125">
        <f>IF(ISNUMBER(W16),W16," - ")</f>
        <v>132</v>
      </c>
      <c r="BD16" s="126">
        <f t="shared" ref="BD16" si="11">IF(ISNUMBER(BA16/AZ16),BA16/AZ16," - ")</f>
        <v>0.9290882778581766</v>
      </c>
      <c r="BE16" s="127">
        <f t="shared" ref="BE16" si="12">IF(ISNUMBER(BB16/BA16),BB16/BA16, " - ")</f>
        <v>2.1028037383177569</v>
      </c>
      <c r="BF16" s="127">
        <f t="shared" ref="BF16" si="13">IF(ISNUMBER(BC16/BA16),BC16/BA16, " - ")</f>
        <v>0.20560747663551401</v>
      </c>
      <c r="BG16" s="195">
        <f t="shared" si="10"/>
        <v>3.1012461059190031</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v>
      </c>
      <c r="J17" s="182">
        <v>0</v>
      </c>
      <c r="K17" s="182">
        <v>0</v>
      </c>
      <c r="L17" s="182">
        <v>10</v>
      </c>
      <c r="M17" s="182">
        <v>0</v>
      </c>
      <c r="N17" s="182">
        <v>0</v>
      </c>
      <c r="O17" s="182">
        <v>0</v>
      </c>
      <c r="P17" s="182">
        <v>0</v>
      </c>
      <c r="Q17" s="182">
        <v>0</v>
      </c>
      <c r="R17" s="182">
        <v>0</v>
      </c>
      <c r="S17" s="182">
        <v>22</v>
      </c>
      <c r="T17" s="182">
        <v>0</v>
      </c>
      <c r="U17" s="182">
        <v>10</v>
      </c>
      <c r="V17" s="182">
        <v>12</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22</v>
      </c>
      <c r="AZ17" s="129">
        <f t="shared" si="14"/>
        <v>0</v>
      </c>
      <c r="BA17" s="129">
        <f t="shared" si="14"/>
        <v>10</v>
      </c>
      <c r="BB17" s="129">
        <f t="shared" si="14"/>
        <v>12</v>
      </c>
      <c r="BC17" s="125">
        <f>IF(ISNUMBER(W17),W17," - ")</f>
        <v>0</v>
      </c>
      <c r="BD17" s="126" t="str">
        <f>IF(ISNUMBER(BA17/AZ17),BA17/AZ17," - ")</f>
        <v xml:space="preserve"> - </v>
      </c>
      <c r="BE17" s="127">
        <f>IF(ISNUMBER(BB17/BA17),BB17/BA17, " - ")</f>
        <v>1.2</v>
      </c>
      <c r="BF17" s="127">
        <f>IF(ISNUMBER(BC17/BA17),BC17/BA17, " - ")</f>
        <v>0</v>
      </c>
      <c r="BG17" s="195">
        <f>IF(ISNUMBER((AY17+AZ17)/BA17),(AY17+AZ17)/BA17," - ")</f>
        <v>2.2000000000000002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1734</v>
      </c>
      <c r="J18" s="183">
        <f t="shared" si="15"/>
        <v>875</v>
      </c>
      <c r="K18" s="183">
        <f t="shared" si="15"/>
        <v>609</v>
      </c>
      <c r="L18" s="183">
        <f t="shared" si="15"/>
        <v>2039</v>
      </c>
      <c r="M18" s="183">
        <f t="shared" si="15"/>
        <v>124</v>
      </c>
      <c r="N18" s="183">
        <f t="shared" si="15"/>
        <v>376</v>
      </c>
      <c r="O18" s="183">
        <f t="shared" si="15"/>
        <v>5</v>
      </c>
      <c r="P18" s="183">
        <f t="shared" si="15"/>
        <v>26</v>
      </c>
      <c r="Q18" s="183">
        <f t="shared" si="15"/>
        <v>40</v>
      </c>
      <c r="R18" s="183">
        <f t="shared" si="15"/>
        <v>247</v>
      </c>
      <c r="S18" s="183">
        <f t="shared" si="15"/>
        <v>1322</v>
      </c>
      <c r="T18" s="183">
        <f t="shared" si="15"/>
        <v>691</v>
      </c>
      <c r="U18" s="183">
        <f t="shared" si="15"/>
        <v>652</v>
      </c>
      <c r="V18" s="183">
        <f t="shared" si="15"/>
        <v>1362</v>
      </c>
      <c r="W18" s="183">
        <f t="shared" si="15"/>
        <v>132</v>
      </c>
      <c r="X18" s="183">
        <f t="shared" si="15"/>
        <v>338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1322</v>
      </c>
      <c r="AZ18" s="183">
        <f>SUBTOTAL(9,AZ14:AZ17)</f>
        <v>691</v>
      </c>
      <c r="BA18" s="183">
        <f>SUBTOTAL(9,BA14:BA17)</f>
        <v>652</v>
      </c>
      <c r="BB18" s="183">
        <f>SUBTOTAL(9,BB14:BB17)</f>
        <v>1362</v>
      </c>
      <c r="BC18" s="183">
        <f>SUBTOTAL(9,BC14:BC17)</f>
        <v>132</v>
      </c>
      <c r="BD18" s="204">
        <f>IF(ISNUMBER(BA18/AZ18),BA18/AZ18," - ")</f>
        <v>0.94356005788712016</v>
      </c>
      <c r="BE18" s="205">
        <f>IF(ISNUMBER(BB18/BA18),BB18/BA18, " - ")</f>
        <v>2.0889570552147241</v>
      </c>
      <c r="BF18" s="205">
        <f>IF(ISNUMBER(BC18/BA18),BC18/BA18, " - ")</f>
        <v>0.20245398773006135</v>
      </c>
      <c r="BG18" s="206">
        <f>IF(ISNUMBER((AY18+AZ18)/BA18),(AY18+AZ18)/BA18," - ")</f>
        <v>3.0874233128834354</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5600</v>
      </c>
      <c r="J19" s="134">
        <f t="shared" si="18"/>
        <v>1824</v>
      </c>
      <c r="K19" s="134">
        <f t="shared" si="18"/>
        <v>1826</v>
      </c>
      <c r="L19" s="134">
        <f t="shared" si="18"/>
        <v>5632</v>
      </c>
      <c r="M19" s="134">
        <f t="shared" si="18"/>
        <v>401</v>
      </c>
      <c r="N19" s="134">
        <f t="shared" si="18"/>
        <v>946</v>
      </c>
      <c r="O19" s="134">
        <f t="shared" si="18"/>
        <v>580</v>
      </c>
      <c r="P19" s="134">
        <f t="shared" si="18"/>
        <v>380</v>
      </c>
      <c r="Q19" s="134">
        <f t="shared" si="18"/>
        <v>240</v>
      </c>
      <c r="R19" s="134">
        <f t="shared" si="18"/>
        <v>7809</v>
      </c>
      <c r="S19" s="134">
        <f t="shared" si="18"/>
        <v>5406</v>
      </c>
      <c r="T19" s="134">
        <f t="shared" si="18"/>
        <v>1794</v>
      </c>
      <c r="U19" s="134">
        <f t="shared" si="18"/>
        <v>1783</v>
      </c>
      <c r="V19" s="134">
        <f t="shared" si="18"/>
        <v>5418</v>
      </c>
      <c r="W19" s="134">
        <f t="shared" si="18"/>
        <v>410</v>
      </c>
      <c r="X19" s="134">
        <f t="shared" si="18"/>
        <v>604</v>
      </c>
      <c r="Y19" s="134">
        <f t="shared" si="18"/>
        <v>137</v>
      </c>
      <c r="Z19" s="134">
        <f t="shared" si="18"/>
        <v>89</v>
      </c>
      <c r="AA19" s="134">
        <f t="shared" si="18"/>
        <v>98</v>
      </c>
      <c r="AB19" s="134">
        <f t="shared" si="18"/>
        <v>128</v>
      </c>
      <c r="AC19" s="134">
        <f t="shared" si="18"/>
        <v>0</v>
      </c>
      <c r="AD19" s="134">
        <f t="shared" si="18"/>
        <v>0</v>
      </c>
      <c r="AE19" s="134">
        <f t="shared" si="18"/>
        <v>0</v>
      </c>
      <c r="AF19" s="134">
        <f t="shared" si="18"/>
        <v>0</v>
      </c>
      <c r="AG19" s="134">
        <f t="shared" si="18"/>
        <v>50</v>
      </c>
      <c r="AH19" s="134">
        <f t="shared" si="18"/>
        <v>50</v>
      </c>
      <c r="AI19" s="134">
        <f t="shared" si="18"/>
        <v>65</v>
      </c>
      <c r="AJ19" s="134">
        <f t="shared" si="18"/>
        <v>35</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5456</v>
      </c>
      <c r="AZ19" s="134">
        <f>SUBTOTAL(9,AZ9:AZ18)</f>
        <v>1844</v>
      </c>
      <c r="BA19" s="134">
        <f>SUBTOTAL(9,BA9:BA18)</f>
        <v>1848</v>
      </c>
      <c r="BB19" s="134">
        <f>SUBTOTAL(9,BB9:BB18)</f>
        <v>5453</v>
      </c>
      <c r="BC19" s="135">
        <f>SUBTOTAL(9,BC9:BC18)</f>
        <v>402</v>
      </c>
      <c r="BD19" s="212">
        <f>IF(ISNUMBER(BA19/AZ19),BA19/AZ19," - ")</f>
        <v>1.0021691973969631</v>
      </c>
      <c r="BE19" s="209">
        <f>IF(ISNUMBER(BB19/BA19),BB19/BA19, " - ")</f>
        <v>2.9507575757575757</v>
      </c>
      <c r="BF19" s="209">
        <f>IF(ISNUMBER(BC19/BA19),BC19/BA19, " - ")</f>
        <v>0.21753246753246752</v>
      </c>
      <c r="BG19" s="135">
        <f>IF(ISNUMBER((AY19+AZ19)/BA19),(AY19+AZ19)/BA19," - ")</f>
        <v>3.9502164502164501</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R1jU7aNhHroLU7+mJnxx4+U9DohKX/VyOE4mk/VoUsjDnG2qRfJSGqoAOFSKN3wQupsEDQzXLuCb1Zl2Z6YpA==" saltValue="fxPUtK5oXN40ORunAU0b4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otsEDsrKxQaofUCOy0obO4gdD9hOWeEOMGpW+6UX7lcHZWPvqe1/Q6spXMBFmMzdc8CQJ+2UrrZcL3/dNhQdA==" saltValue="RQHs3LVqjgx7hhKflXhwT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NOVELDA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89</v>
      </c>
      <c r="O12" s="333"/>
      <c r="P12" s="333"/>
      <c r="Q12" s="225">
        <f>IF(ISNUMBER(Datos!P12),Datos!P12,0)</f>
        <v>354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128</v>
      </c>
      <c r="AI12" s="333" t="str">
        <f>IF(ISNUMBER(Datos!CD12),Datos!CD12,"-")</f>
        <v>-</v>
      </c>
      <c r="AJ12" s="333" t="str">
        <f>IF(ISNUMBER(Datos!EN12),Datos!EN12," - ")</f>
        <v xml:space="preserve"> - </v>
      </c>
      <c r="AK12" s="333"/>
      <c r="AL12" s="478"/>
      <c r="AM12" s="334">
        <f>IF(ISNUMBER(Datos!R12),Datos!R12," - ")</f>
        <v>7562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277</v>
      </c>
      <c r="BD12" s="228">
        <f>IF(ISNUMBER(Datos!N12),Datos!N12," - ")</f>
        <v>570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1.2668593448940271</v>
      </c>
      <c r="BH12" s="259">
        <f>IF(ISNUMBER(((IF(J_V="SI",Datos!L12/Datos!K12,(Datos!L12+Datos!AB12)/(Datos!K12+Datos!AA12)))*11)/factor_trimestre),((IF(J_V="SI",Datos!L12/Datos!K12,(Datos!L12+Datos!AB12)/(Datos!K12+Datos!AA12)))*11)/factor_trimestre," - ")</f>
        <v>8.4889733840304196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2.0788336933045357E-2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0</v>
      </c>
      <c r="G13" s="897">
        <f t="shared" si="0"/>
        <v>5</v>
      </c>
      <c r="H13" s="898">
        <f t="shared" si="0"/>
        <v>0</v>
      </c>
      <c r="I13" s="897">
        <f t="shared" si="0"/>
        <v>0</v>
      </c>
      <c r="J13" s="866">
        <f t="shared" si="0"/>
        <v>0</v>
      </c>
      <c r="K13" s="866">
        <f t="shared" si="0"/>
        <v>0</v>
      </c>
      <c r="L13" s="898">
        <f t="shared" si="0"/>
        <v>0</v>
      </c>
      <c r="M13" s="898">
        <f t="shared" si="0"/>
        <v>0</v>
      </c>
      <c r="N13" s="898">
        <f t="shared" si="0"/>
        <v>89</v>
      </c>
      <c r="O13" s="899">
        <f t="shared" si="0"/>
        <v>0</v>
      </c>
      <c r="P13" s="899">
        <f t="shared" si="0"/>
        <v>0</v>
      </c>
      <c r="Q13" s="898">
        <f t="shared" si="0"/>
        <v>354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200</v>
      </c>
      <c r="AD13" s="898">
        <f t="shared" si="1"/>
        <v>0</v>
      </c>
      <c r="AE13" s="898">
        <f t="shared" si="1"/>
        <v>0</v>
      </c>
      <c r="AF13" s="898">
        <f t="shared" si="1"/>
        <v>0</v>
      </c>
      <c r="AG13" s="898">
        <f t="shared" si="1"/>
        <v>0</v>
      </c>
      <c r="AH13" s="898">
        <f t="shared" si="1"/>
        <v>128</v>
      </c>
      <c r="AI13" s="898">
        <f t="shared" si="1"/>
        <v>0</v>
      </c>
      <c r="AJ13" s="898">
        <f t="shared" si="1"/>
        <v>0</v>
      </c>
      <c r="AK13" s="898">
        <f t="shared" si="1"/>
        <v>0</v>
      </c>
      <c r="AL13" s="898">
        <f t="shared" si="1"/>
        <v>0</v>
      </c>
      <c r="AM13" s="898">
        <f t="shared" si="1"/>
        <v>7562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277</v>
      </c>
      <c r="BD13" s="898">
        <f t="shared" si="1"/>
        <v>570</v>
      </c>
      <c r="BE13" s="898">
        <f t="shared" si="1"/>
        <v>0</v>
      </c>
      <c r="BF13" s="898">
        <f t="shared" si="1"/>
        <v>0</v>
      </c>
      <c r="BG13" s="898">
        <f>IF(ISNUMBER(Datos!K13/Datos!J13),Datos!K13/Datos!J13," - ")</f>
        <v>1.2824025289778715</v>
      </c>
      <c r="BH13" s="902">
        <f>IF(ISNUMBER(((Datos!L13/Datos!K13)*11)/factor_trimestre),((Datos!L13/Datos!K13)*11)/factor_trimestre," - ")</f>
        <v>8.8570254724732944</v>
      </c>
      <c r="BI13" s="898">
        <f>IF(ISNUMBER('Resol  Asuntos'!D13/NºAsuntos!G13),'Resol  Asuntos'!D13/NºAsuntos!G13," - ")</f>
        <v>0.21064638783269962</v>
      </c>
      <c r="BJ13" s="898" t="str">
        <f>IF(ISNUMBER(Datos!CI13/Datos!CJ13),Datos!CI13/Datos!CJ13," - ")</f>
        <v xml:space="preserve"> - </v>
      </c>
      <c r="BK13" s="898">
        <f>SUBTOTAL(9,BK8:BK12)</f>
        <v>0</v>
      </c>
      <c r="BL13" s="898" t="str">
        <f>IF(ISNUMBER((I13-AB13+L13)/(F13)),(I13-AB13+L13)/(F13)," - ")</f>
        <v xml:space="preserve"> - </v>
      </c>
      <c r="BM13" s="903">
        <f>SUBTOTAL(9,BM9:BM12)</f>
        <v>2.0788336933045357E-2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1763</v>
      </c>
      <c r="G16" s="597">
        <f>IF(ISNUMBER(IF(D_I="SI",Datos!I16,Datos!I16+Datos!AC16)),IF(D_I="SI",Datos!I16,Datos!I16+Datos!AC16)," - ")</f>
        <v>1724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609</v>
      </c>
      <c r="AC16" s="225">
        <f>IF(ISNUMBER(Datos!Q16),Datos!Q16," - ")</f>
        <v>40</v>
      </c>
      <c r="AD16" s="333"/>
      <c r="AE16" s="483"/>
      <c r="AF16" s="595">
        <f>IF(ISNUMBER(IF(D_I="SI",Datos!L16,Datos!L16+Datos!AF16)),IF(D_I="SI",Datos!L16,Datos!L16+Datos!AF16)," - ")</f>
        <v>2029</v>
      </c>
      <c r="AG16" s="333"/>
      <c r="AH16" s="333"/>
      <c r="AI16" s="333"/>
      <c r="AJ16" s="333"/>
      <c r="AK16" s="333"/>
      <c r="AL16" s="478"/>
      <c r="AM16" s="334">
        <f>IF(ISNUMBER(Datos!R16),Datos!R16," - ")</f>
        <v>247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124</v>
      </c>
      <c r="BD16" s="228">
        <f>IF(ISNUMBER(Datos!N16),Datos!N16," - ")</f>
        <v>376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0.69599999999999995</v>
      </c>
      <c r="BH16" s="259">
        <f>IF(ISNUMBER(((IF(D_I="SI",Datos!L16/Datos!K16,(Datos!L16+Datos!AF16)/(Datos!K16+Datos!AE16)))*11)/factor_trimestre),((IF(D_I="SI",Datos!L16/Datos!K16,(Datos!L16+Datos!AF16)/(Datos!K16+Datos!AE16)))*11)/factor_trimestre," - ")</f>
        <v>9.9950738916256139</v>
      </c>
      <c r="BI16" s="242">
        <f>IF(ISNUMBER('Resol  Asuntos'!D16/NºAsuntos!G16),'Resol  Asuntos'!D16/NºAsuntos!G16," - ")</f>
        <v>0.20361247947454844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10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1763</v>
      </c>
      <c r="G18" s="897">
        <f>SUBTOTAL(9,G15:G17)</f>
        <v>1734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609</v>
      </c>
      <c r="AC18" s="898">
        <f t="shared" si="4"/>
        <v>40</v>
      </c>
      <c r="AD18" s="898">
        <f t="shared" si="4"/>
        <v>0</v>
      </c>
      <c r="AE18" s="898">
        <f t="shared" si="4"/>
        <v>0</v>
      </c>
      <c r="AF18" s="898">
        <f t="shared" si="4"/>
        <v>2039</v>
      </c>
      <c r="AG18" s="898">
        <f t="shared" si="4"/>
        <v>0</v>
      </c>
      <c r="AH18" s="898">
        <f t="shared" si="4"/>
        <v>0</v>
      </c>
      <c r="AI18" s="898">
        <f t="shared" si="4"/>
        <v>0</v>
      </c>
      <c r="AJ18" s="898">
        <f t="shared" si="4"/>
        <v>0</v>
      </c>
      <c r="AK18" s="898">
        <f t="shared" si="4"/>
        <v>0</v>
      </c>
      <c r="AL18" s="898">
        <f t="shared" si="4"/>
        <v>0</v>
      </c>
      <c r="AM18" s="898">
        <f t="shared" si="4"/>
        <v>247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124</v>
      </c>
      <c r="BD18" s="898">
        <f t="shared" si="4"/>
        <v>376</v>
      </c>
      <c r="BE18" s="898">
        <f t="shared" si="4"/>
        <v>0</v>
      </c>
      <c r="BF18" s="898">
        <f t="shared" si="4"/>
        <v>0</v>
      </c>
      <c r="BG18" s="898">
        <f>IF(ISNUMBER(Datos!K18/Datos!J18),Datos!K18/Datos!J18," - ")</f>
        <v>0.69599999999999995</v>
      </c>
      <c r="BH18" s="902">
        <f>IF(ISNUMBER(((Datos!L18/Datos!K18)*11)/factor_trimestre),((Datos!L18/Datos!K18)*11)/factor_trimestre," - ")</f>
        <v>10.044334975369459</v>
      </c>
      <c r="BI18" s="898">
        <f>SUBTOTAL(9,BI15:BI17)</f>
        <v>0.20361247947454844</v>
      </c>
      <c r="BJ18" s="898">
        <f>SUBTOTAL(9,BJ15:BJ17)</f>
        <v>0</v>
      </c>
      <c r="BK18" s="898">
        <f>SUBTOTAL(9,BK15:BK17)</f>
        <v>0</v>
      </c>
      <c r="BL18" s="898">
        <f>IF(ISNUMBER((I18-AB18+L18)/(F18)),(I18-AB18+L18)/(F18)," - ")</f>
        <v>-0.34543391945547364</v>
      </c>
      <c r="BM18" s="904">
        <f>IF(ISNUMBER((Datos!P18-Datos!Q18)/(Datos!R18-Datos!P18+Datos!Q18)),(Datos!P18-Datos!Q18)/(Datos!R18-Datos!P18+Datos!Q18)," - ")</f>
        <v>-5.3639846743295021E-2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1763</v>
      </c>
      <c r="G19" s="819">
        <f t="shared" si="6"/>
        <v>1739</v>
      </c>
      <c r="H19" s="821">
        <f t="shared" si="6"/>
        <v>0</v>
      </c>
      <c r="I19" s="819">
        <f t="shared" si="6"/>
        <v>0</v>
      </c>
      <c r="J19" s="821">
        <f t="shared" si="6"/>
        <v>0</v>
      </c>
      <c r="K19" s="821">
        <f t="shared" si="6"/>
        <v>0</v>
      </c>
      <c r="L19" s="880">
        <f t="shared" si="6"/>
        <v>0</v>
      </c>
      <c r="M19" s="880">
        <f t="shared" si="6"/>
        <v>0</v>
      </c>
      <c r="N19" s="880">
        <f t="shared" si="6"/>
        <v>89</v>
      </c>
      <c r="O19" s="880">
        <f t="shared" si="6"/>
        <v>0</v>
      </c>
      <c r="P19" s="880">
        <f t="shared" si="6"/>
        <v>0</v>
      </c>
      <c r="Q19" s="821">
        <f t="shared" si="6"/>
        <v>380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609</v>
      </c>
      <c r="AC19" s="820">
        <f t="shared" si="7"/>
        <v>240</v>
      </c>
      <c r="AD19" s="820">
        <f t="shared" si="7"/>
        <v>0</v>
      </c>
      <c r="AE19" s="820">
        <f t="shared" si="7"/>
        <v>0</v>
      </c>
      <c r="AF19" s="827">
        <f t="shared" si="7"/>
        <v>2039</v>
      </c>
      <c r="AG19" s="827">
        <f t="shared" si="7"/>
        <v>0</v>
      </c>
      <c r="AH19" s="827">
        <f t="shared" si="7"/>
        <v>128</v>
      </c>
      <c r="AI19" s="827">
        <f t="shared" si="7"/>
        <v>0</v>
      </c>
      <c r="AJ19" s="820">
        <f t="shared" si="7"/>
        <v>0</v>
      </c>
      <c r="AK19" s="827">
        <f t="shared" si="7"/>
        <v>0</v>
      </c>
      <c r="AL19" s="827">
        <f t="shared" si="7"/>
        <v>0</v>
      </c>
      <c r="AM19" s="827">
        <f t="shared" si="7"/>
        <v>7809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401</v>
      </c>
      <c r="BD19" s="819">
        <f t="shared" si="7"/>
        <v>946</v>
      </c>
      <c r="BE19" s="819">
        <f t="shared" si="7"/>
        <v>0</v>
      </c>
      <c r="BF19" s="829">
        <f t="shared" si="7"/>
        <v>0</v>
      </c>
      <c r="BG19" s="914">
        <f>IF(ISNUMBER(Datos!K19/Datos!J19),Datos!K19/Datos!J19," - ")</f>
        <v>1.0010964912280702</v>
      </c>
      <c r="BH19" s="914">
        <f>IF(ISNUMBER(((Datos!L19/Datos!K19)*11)/factor_trimestre),((Datos!L19/Datos!K19)*11)/factor_trimestre," - ")</f>
        <v>9.2530120481927725</v>
      </c>
      <c r="BI19" s="812">
        <f>IF(ISNUMBER(Datos!J19/Datos!I19),Datos!J19/Datos!I19," - ")</f>
        <v>0.32571428571428573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-0.34543391945547364</v>
      </c>
      <c r="BM19" s="888">
        <f>IF(ISNUMBER((Datos!P19-Datos!Q19+R19)/(Datos!R19-Datos!P19+Datos!Q19-R19)),(Datos!P19-Datos!Q19+R19)/(Datos!R19-Datos!P19+Datos!Q19-R19)," - ")</f>
        <v>1.8255313600208632E-2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695.6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1017.8685245813102</v>
      </c>
      <c r="G21" s="551">
        <f>IF(ISNUMBER(STDEV(G8:G18)),STDEV(G8:G18),"-")</f>
        <v>943.36965183325674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333.56303752064616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124.10425724634375</v>
      </c>
      <c r="BD21" s="550"/>
      <c r="BE21" s="550">
        <f>IF(ISNUMBER(STDEV(BE8:BE18)),STDEV(BE8:BE18),"-")</f>
        <v>0</v>
      </c>
      <c r="BF21" s="555">
        <f>IF(ISNUMBER(STDEV(BF8:BF18)),STDEV(BF8:BF18),"-")</f>
        <v>0</v>
      </c>
      <c r="BG21" s="774">
        <f>IF(ISNUMBER(STDEV(BG8:BG18)),STDEV(BG8:BG18),"-")</f>
        <v>0.33413298573327904</v>
      </c>
      <c r="BH21" s="775">
        <f>IF(ISNUMBER(STDEV(BH8:BH18)),STDEV(BH8:BH18),"-")</f>
        <v>0.79216136155944805</v>
      </c>
      <c r="BI21" s="248">
        <f>IF(ISNUMBER(STDEV(BI8:BI18)),STDEV(BI8:BI18),"-")</f>
        <v>4.0610288840337424E-3</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nAMpG+eZG7qW1eK7ZsCZITQsaIqTI5WAgdVM4NqSWQqHdYIOioMlBfnKhQtn2sVJYSjkOw9SMBjzgxeDQbPCEg==" saltValue="ChFvsQ9OPzCAmKALmFAn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NOVELDA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200</v>
      </c>
      <c r="AA12" s="331" t="str">
        <f>IF(ISNUMBER(IF(J_V="SI",Datos!L12,Datos!L12+Datos!AB12)-IF(Monitorios="SI",Datos!CD12,0)),
                          IF(J_V="SI",Datos!L12,Datos!L12+Datos!AB12)-IF(Monitorios="SI",Datos!CD12,0),
                          " - ")</f>
        <v xml:space="preserve"> - </v>
      </c>
      <c r="AB12" s="333"/>
      <c r="AC12" s="333"/>
      <c r="AD12" s="483"/>
      <c r="AE12" s="483">
        <f>IF(ISNUMBER(Datos!R12),Datos!R12," - ")</f>
        <v>7562</v>
      </c>
      <c r="AF12" s="228" t="str">
        <f>IF(ISNUMBER(Datos!BV12),Datos!BV12," - ")</f>
        <v xml:space="preserve"> - </v>
      </c>
      <c r="AG12" s="224" t="str">
        <f>IF(ISNUMBER(Datos!DV12),Datos!DV12," - ")</f>
        <v xml:space="preserve"> - </v>
      </c>
      <c r="AH12" s="297"/>
      <c r="AI12" s="226"/>
      <c r="AJ12" s="224">
        <f>IF(ISNUMBER(Datos!M12),Datos!M12," - ")</f>
        <v>277</v>
      </c>
      <c r="AK12" s="228">
        <f>IF(ISNUMBER(Datos!N12),Datos!N12," - ")</f>
        <v>570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8.4889733840304196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2.0788336933045357E-2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0</v>
      </c>
      <c r="G13" s="897">
        <f>SUBTOTAL(9,G8:G12)</f>
        <v>5</v>
      </c>
      <c r="H13" s="907"/>
      <c r="I13" s="897">
        <f t="shared" ref="I13:N13" si="0">SUBTOTAL(9,I8:I12)</f>
        <v>0</v>
      </c>
      <c r="J13" s="866">
        <f t="shared" si="0"/>
        <v>0</v>
      </c>
      <c r="K13" s="907">
        <f t="shared" si="0"/>
        <v>0</v>
      </c>
      <c r="L13" s="907">
        <f t="shared" si="0"/>
        <v>0</v>
      </c>
      <c r="M13" s="907">
        <f t="shared" si="0"/>
        <v>0</v>
      </c>
      <c r="N13" s="907">
        <f t="shared" si="0"/>
        <v>354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200</v>
      </c>
      <c r="AA13" s="899">
        <f t="shared" si="2"/>
        <v>0</v>
      </c>
      <c r="AB13" s="899">
        <f t="shared" si="2"/>
        <v>0</v>
      </c>
      <c r="AC13" s="899">
        <f t="shared" si="2"/>
        <v>0</v>
      </c>
      <c r="AD13" s="899">
        <f t="shared" si="2"/>
        <v>0</v>
      </c>
      <c r="AE13" s="899">
        <f t="shared" si="2"/>
        <v>7562</v>
      </c>
      <c r="AF13" s="907">
        <f t="shared" si="2"/>
        <v>0</v>
      </c>
      <c r="AG13" s="907">
        <f t="shared" si="2"/>
        <v>0</v>
      </c>
      <c r="AH13" s="907">
        <f t="shared" si="2"/>
        <v>0</v>
      </c>
      <c r="AI13" s="907">
        <f t="shared" si="2"/>
        <v>0</v>
      </c>
      <c r="AJ13" s="907">
        <f t="shared" si="2"/>
        <v>277</v>
      </c>
      <c r="AK13" s="907">
        <f t="shared" si="2"/>
        <v>570</v>
      </c>
      <c r="AL13" s="907">
        <f t="shared" si="2"/>
        <v>0</v>
      </c>
      <c r="AM13" s="907">
        <f t="shared" si="2"/>
        <v>0</v>
      </c>
      <c r="AN13" s="907">
        <f t="shared" si="2"/>
        <v>0</v>
      </c>
      <c r="AO13" s="903">
        <f>IF(ISNUMBER(((NºAsuntos!I13/NºAsuntos!G13)*11)/factor_trimestre),((NºAsuntos!I13/NºAsuntos!G13)*11)/factor_trimestre," - ")</f>
        <v>8.4889733840304196</v>
      </c>
      <c r="AP13" s="909" t="str">
        <f>IF(ISNUMBER(Datos!CI13/Datos!CJ13),Datos!CI13/Datos!CJ13," - ")</f>
        <v xml:space="preserve"> - </v>
      </c>
      <c r="AQ13" s="927">
        <f t="shared" ref="AQ13:AV13" si="3">SUBTOTAL(9,AQ9:AQ12)</f>
        <v>0</v>
      </c>
      <c r="AR13" s="927">
        <f t="shared" si="3"/>
        <v>2.0788336933045357E-2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1763</v>
      </c>
      <c r="G16" s="224">
        <f>IF(ISNUMBER(IF(D_I="SI",Datos!I16,Datos!I16+Datos!AC16)),IF(D_I="SI",Datos!I16,Datos!I16+Datos!AC16)," - ")</f>
        <v>1724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609</v>
      </c>
      <c r="Z16" s="618">
        <f>IF(ISNUMBER(Datos!Q16),Datos!Q16," - ")</f>
        <v>40</v>
      </c>
      <c r="AA16" s="331">
        <f>IF(ISNUMBER(IF(D_I="SI",Datos!L16,Datos!L16+Datos!AF16)),IF(D_I="SI",Datos!L16,Datos!L16+Datos!AF16)," - ")</f>
        <v>2029</v>
      </c>
      <c r="AB16" s="333"/>
      <c r="AC16" s="333"/>
      <c r="AD16" s="483"/>
      <c r="AE16" s="483">
        <f>IF(ISNUMBER(Datos!R16),Datos!R16," - ")</f>
        <v>247</v>
      </c>
      <c r="AF16" s="228" t="str">
        <f>IF(ISNUMBER(Datos!BV16),Datos!BV16," - ")</f>
        <v xml:space="preserve"> - </v>
      </c>
      <c r="AG16" s="224"/>
      <c r="AH16" s="297"/>
      <c r="AI16" s="226"/>
      <c r="AJ16" s="224">
        <f>IF(ISNUMBER(Datos!M16),Datos!M16," - ")</f>
        <v>124</v>
      </c>
      <c r="AK16" s="228">
        <f>IF(ISNUMBER(Datos!N16),Datos!N16," - ")</f>
        <v>376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9.9950738916256139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10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1763</v>
      </c>
      <c r="G18" s="897">
        <f>SUBTOTAL(9,G15:G17)</f>
        <v>1734</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609</v>
      </c>
      <c r="Z18" s="931">
        <f t="shared" si="5"/>
        <v>40</v>
      </c>
      <c r="AA18" s="931">
        <f t="shared" si="5"/>
        <v>2039</v>
      </c>
      <c r="AB18" s="931">
        <f t="shared" si="5"/>
        <v>0</v>
      </c>
      <c r="AC18" s="931">
        <f t="shared" si="5"/>
        <v>0</v>
      </c>
      <c r="AD18" s="931">
        <f t="shared" si="5"/>
        <v>0</v>
      </c>
      <c r="AE18" s="931">
        <f t="shared" si="5"/>
        <v>247</v>
      </c>
      <c r="AF18" s="931">
        <f t="shared" si="5"/>
        <v>0</v>
      </c>
      <c r="AG18" s="931">
        <f t="shared" si="5"/>
        <v>0</v>
      </c>
      <c r="AH18" s="931">
        <f t="shared" si="5"/>
        <v>0</v>
      </c>
      <c r="AI18" s="931">
        <f t="shared" si="5"/>
        <v>0</v>
      </c>
      <c r="AJ18" s="931">
        <f t="shared" si="5"/>
        <v>124</v>
      </c>
      <c r="AK18" s="931">
        <f t="shared" si="5"/>
        <v>376</v>
      </c>
      <c r="AL18" s="931">
        <f t="shared" si="5"/>
        <v>0</v>
      </c>
      <c r="AM18" s="931">
        <f t="shared" si="5"/>
        <v>0</v>
      </c>
      <c r="AN18" s="931">
        <f t="shared" si="5"/>
        <v>0</v>
      </c>
      <c r="AO18" s="933">
        <f>IF(ISNUMBER(((NºAsuntos!I18/NºAsuntos!G18)*11)/factor_trimestre),((NºAsuntos!I18/NºAsuntos!G18)*11)/factor_trimestre," - ")</f>
        <v>10.044334975369459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1763</v>
      </c>
      <c r="G19" s="819">
        <f t="shared" si="7"/>
        <v>1739</v>
      </c>
      <c r="H19" s="820">
        <f t="shared" si="7"/>
        <v>0</v>
      </c>
      <c r="I19" s="819">
        <f t="shared" si="7"/>
        <v>0</v>
      </c>
      <c r="J19" s="821">
        <f t="shared" si="7"/>
        <v>0</v>
      </c>
      <c r="K19" s="819">
        <f t="shared" si="7"/>
        <v>0</v>
      </c>
      <c r="L19" s="822">
        <f t="shared" si="7"/>
        <v>0</v>
      </c>
      <c r="M19" s="819">
        <f t="shared" si="7"/>
        <v>0</v>
      </c>
      <c r="N19" s="820">
        <f t="shared" si="7"/>
        <v>380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609</v>
      </c>
      <c r="Z19" s="826">
        <f t="shared" si="8"/>
        <v>240</v>
      </c>
      <c r="AA19" s="827">
        <f t="shared" si="8"/>
        <v>2039</v>
      </c>
      <c r="AB19" s="827">
        <f t="shared" si="8"/>
        <v>0</v>
      </c>
      <c r="AC19" s="827">
        <f t="shared" si="8"/>
        <v>0</v>
      </c>
      <c r="AD19" s="828">
        <f t="shared" si="8"/>
        <v>0</v>
      </c>
      <c r="AE19" s="828">
        <f t="shared" si="8"/>
        <v>7809</v>
      </c>
      <c r="AF19" s="829">
        <f t="shared" si="8"/>
        <v>0</v>
      </c>
      <c r="AG19" s="830">
        <f t="shared" si="8"/>
        <v>0</v>
      </c>
      <c r="AH19" s="831">
        <f t="shared" si="8"/>
        <v>0</v>
      </c>
      <c r="AI19" s="829">
        <f t="shared" si="8"/>
        <v>0</v>
      </c>
      <c r="AJ19" s="819">
        <f t="shared" si="8"/>
        <v>401</v>
      </c>
      <c r="AK19" s="819">
        <f t="shared" si="8"/>
        <v>946</v>
      </c>
      <c r="AL19" s="819">
        <f t="shared" si="8"/>
        <v>0</v>
      </c>
      <c r="AM19" s="832">
        <f t="shared" si="8"/>
        <v>0</v>
      </c>
      <c r="AN19" s="822">
        <f>IF(ISNUMBER(Datos!K19/Datos!J19),Datos!K19/Datos!J19," - ")</f>
        <v>1.0010964912280702</v>
      </c>
      <c r="AO19" s="822">
        <f>IF(ISNUMBER(FIND("06",Criterios!A8,1)),(IF(ISNUMBER(((Datos!R19/Datos!Q19)*11)/factor_trimestre),((Datos!R19/Datos!Q19)*11)/factor_trimestre," - ")),(IF(ISNUMBER(((Datos!L19/Datos!K19)*11)/factor_trimestre),((Datos!L19/Datos!K19)*11)/factor_trimestre," - ")))</f>
        <v>9.2530120481927725</v>
      </c>
      <c r="AP19" s="833" t="str">
        <f>IF(ISNUMBER(Datos!CI19/Datos!CJ19),Datos!CI19/Datos!CJ19," - ")</f>
        <v xml:space="preserve"> - </v>
      </c>
      <c r="AQ19" s="833">
        <f>IF(OR(ISNUMBER(FIND("01",Criterios!A8,1)),ISNUMBER(FIND("02",Criterios!A8,1)),ISNUMBER(FIND("03",Criterios!A8,1)),ISNUMBER(FIND("04",Criterios!A8,1))),(J19-Y19+K19)/(F19-K19),(I19-Y19+K19)/(F19-K19))</f>
        <v>-0.34543391945547364</v>
      </c>
      <c r="AR19" s="833">
        <f>IF(ISNUMBER((Datos!P19-Datos!Q19+O19)/(Datos!R19-Datos!P19+Datos!Q19-O19)),(Datos!P19-Datos!Q19+O19)/(Datos!R19-Datos!P19+Datos!Q19-O19)," - ")</f>
        <v>1.8255313600208632E-2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695.6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1017.8685245813102</v>
      </c>
      <c r="G21" s="551">
        <f>IF(ISNUMBER(STDEV(G8:G18)),STDEV(G8:G18),"-")</f>
        <v>943.36965183325674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124.10425724634375</v>
      </c>
      <c r="AK21" s="251"/>
      <c r="AL21" s="251">
        <f>IF(ISNUMBER(STDEV(AL8:AL18)),STDEV(AL8:AL18),"-")</f>
        <v>0</v>
      </c>
      <c r="AM21" s="253">
        <f>IF(ISNUMBER(STDEV(AM8:AM18)),STDEV(AM8:AM18),"-")</f>
        <v>0</v>
      </c>
      <c r="AN21" s="538">
        <f>IF(ISNUMBER(STDEV(AN8:AN18)),STDEV(AN8:AN18),"-")</f>
        <v>0</v>
      </c>
      <c r="AO21" s="539">
        <f>IF(ISNUMBER(STDEV(AO8:AO18)),STDEV(AO8:AO18),"-")</f>
        <v>0.88399677091953799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sYIlufYkyapHk3LDoWMMpN3YWXZf1C9zboz+JJN2+p3+br7cbFXRIrLlLfYb5xMW6z1AFbR6KzTMZNrEntfong==" saltValue="JEsX9hfRj8Y4VaJy79EA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FE+Vzttf/pg634M+QE2BRuSMjImeA8AEgMeUc5RiMf780TBQT6gbtTXxmLCj4ASXi4V77IYd4GHReXWEFQhKQ==" saltValue="+IRjEjPU7WzqwN7az3FT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ny4VT+gFHBeJoeACbfe9SQcY4XtLouofd9Ubz5ryAIlSmz7opQCkfk/+rP+w7yAf5Lb6el7G+VtBG2pCLinWw==" saltValue="feCMnkFWcIQP6I44N2eJk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NOVELDA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0.21064638783269962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0.14894948926895335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qPyLabvmVajj9MxBGBrQAjX0x3YcVc0m/YAOl9FJh3DVKbl724zQDcV0V2n+Z9ASTn6bHUcY+ICs9iMs2kDGlw==" saltValue="zs9hYzdFPTHEZfYZqaeF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hqH/T7VZanAaez4e1BVRuFQTbmBzcvHLY6UtUFS3o9B+ORULJirrzXP2O/qXF1vtVohU0KgHiXQUaxI3v/vgA==" saltValue="wDAdq2/xMNdulPoKhgHM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NOVELDA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3998</v>
      </c>
      <c r="D12" s="403">
        <f>IF(ISNUMBER(C12/Datos!BH12),C12/Datos!BH12," - ")</f>
        <v>999.5</v>
      </c>
      <c r="E12" s="402">
        <f>IF(ISNUMBER(IF(J_V="SI",Datos!J12,Datos!J12+Datos!Z12)),IF(J_V="SI",Datos!J12,Datos!J12+Datos!Z12)," - ")</f>
        <v>1038</v>
      </c>
      <c r="F12" s="403">
        <f>IF(ISNUMBER(E12/B12),E12/B12," - ")</f>
        <v>259.5</v>
      </c>
      <c r="G12" s="402">
        <f>IF(ISNUMBER(IF(J_V="SI",Datos!K12,Datos!K12+Datos!AA12)),IF(J_V="SI",Datos!K12,Datos!K12+Datos!AA12)," - ")</f>
        <v>1315</v>
      </c>
      <c r="H12" s="403">
        <f>IF(ISNUMBER(G12/B12),G12/B12," - ")</f>
        <v>328.75</v>
      </c>
      <c r="I12" s="402">
        <f>IF(ISNUMBER(IF(J_V="SI",Datos!L12,Datos!L12+Datos!AB12)),IF(J_V="SI",Datos!L12,Datos!L12+Datos!AB12)," - ")</f>
        <v>3721</v>
      </c>
      <c r="J12" s="403">
        <f>IF(ISNUMBER(I12/B12),I12/B12," - ")</f>
        <v>930.25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4003</v>
      </c>
      <c r="D13" s="849" t="str">
        <f>IF(ISNUMBER(C13/Datos!BI13),C13/Datos!BI13," - ")</f>
        <v xml:space="preserve"> - </v>
      </c>
      <c r="E13" s="848">
        <f>SUBTOTAL(9,E8:E12)</f>
        <v>1038</v>
      </c>
      <c r="F13" s="849">
        <f>IF(ISNUMBER(E13/B13),E13/B13," - ")</f>
        <v>259.5</v>
      </c>
      <c r="G13" s="848">
        <f>SUBTOTAL(9,G8:G12)</f>
        <v>1315</v>
      </c>
      <c r="H13" s="849">
        <f>IF(ISNUMBER(G13/B13),G13/B13," - ")</f>
        <v>328.75</v>
      </c>
      <c r="I13" s="848">
        <f>SUBTOTAL(9,I8:I12)</f>
        <v>3721</v>
      </c>
      <c r="J13" s="849">
        <f>IF(ISNUMBER(I13/B13),I13/B13," - ")</f>
        <v>930.25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1724</v>
      </c>
      <c r="D16" s="403">
        <f>IF(ISNUMBER(C16/Datos!BH16),C16/Datos!BH16," - ")</f>
        <v>431</v>
      </c>
      <c r="E16" s="402">
        <f>IF(ISNUMBER(IF(D_I="SI",Datos!J16,Datos!J16+Datos!AD16)),IF(D_I="SI",Datos!J16,Datos!J16+Datos!AD16)," - ")</f>
        <v>875</v>
      </c>
      <c r="F16" s="403">
        <f>IF(ISNUMBER(E16/B16),E16/B16," - ")</f>
        <v>218.75</v>
      </c>
      <c r="G16" s="402">
        <f>IF(ISNUMBER(IF(D_I="SI",Datos!K16,Datos!K16+Datos!AE16)),IF(D_I="SI",Datos!K16,Datos!K16+Datos!AE16)," - ")</f>
        <v>609</v>
      </c>
      <c r="H16" s="403">
        <f>IF(ISNUMBER(G16/B16),G16/B16," - ")</f>
        <v>152.25</v>
      </c>
      <c r="I16" s="402">
        <f>IF(ISNUMBER(IF(D_I="SI",Datos!L16,Datos!L16+Datos!AF16)),IF(D_I="SI",Datos!L16,Datos!L16+Datos!AF16)," - ")</f>
        <v>2029</v>
      </c>
      <c r="J16" s="403">
        <f>IF(ISNUMBER(I16/B16),I16/B16," - ")</f>
        <v>507.25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v>
      </c>
      <c r="D17" s="403">
        <f>IF(ISNUMBER(C17/Datos!BH17),C17/Datos!BH17," - ")</f>
        <v>10</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1734</v>
      </c>
      <c r="D18" s="849" t="str">
        <f>IF(ISNUMBER(C18/Datos!BI18),C18/Datos!BI18," - ")</f>
        <v xml:space="preserve"> - </v>
      </c>
      <c r="E18" s="848">
        <f>SUBTOTAL(9,E14:E17)</f>
        <v>875</v>
      </c>
      <c r="F18" s="849">
        <f>IF(ISNUMBER(E18/B18),E18/B18," - ")</f>
        <v>218.75</v>
      </c>
      <c r="G18" s="848">
        <f>SUBTOTAL(9,G14:G17)</f>
        <v>609</v>
      </c>
      <c r="H18" s="849">
        <f>IF(ISNUMBER(G18/B18),G18/B18," - ")</f>
        <v>152.25</v>
      </c>
      <c r="I18" s="848">
        <f>SUBTOTAL(9,I14:I17)</f>
        <v>2039</v>
      </c>
      <c r="J18" s="849">
        <f>IF(ISNUMBER(I18/B18),I18/B18," - ")</f>
        <v>509.75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5737</v>
      </c>
      <c r="D19" s="794" t="str">
        <f>IF(ISNUMBER(C19/Datos!BI19),C19/Datos!BI19," - ")</f>
        <v xml:space="preserve"> - </v>
      </c>
      <c r="E19" s="793">
        <f>SUBTOTAL(9,E9:E18)</f>
        <v>1913</v>
      </c>
      <c r="F19" s="794">
        <f>IF(ISNUMBER(E19/B19),E19/B19," - ")</f>
        <v>478.25</v>
      </c>
      <c r="G19" s="793">
        <f>SUBTOTAL(9,G9:G18)</f>
        <v>1924</v>
      </c>
      <c r="H19" s="794">
        <f>IF(ISNUMBER(G19/B19),G19/B19," - ")</f>
        <v>481</v>
      </c>
      <c r="I19" s="793">
        <f>SUBTOTAL(9,I9:I18)</f>
        <v>5760</v>
      </c>
      <c r="J19" s="794">
        <f>IF(ISNUMBER(I19/B19),I19/B19," - ")</f>
        <v>1440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GdffAjVgnzqk1Ho9/Y4rrZLpdBuC8Hjj17drbU2nA8porv7aTTCA81VM9wpOOr7RVWGHygdLaV2P61Xs0ZTttw==" saltValue="CG4NjdtqmRorXFDmnIh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NOVELDA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354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7562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277</v>
      </c>
      <c r="AM12" s="689">
        <f>IF(ISNUMBER(Datos!N12+DatosP!N16),Datos!N12+DatosP!N16," - ")</f>
        <v>570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8.4889733840304196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2.0788336933045357E-2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0</v>
      </c>
      <c r="G13" s="937">
        <f t="shared" si="0"/>
        <v>5</v>
      </c>
      <c r="H13" s="937">
        <f t="shared" si="0"/>
        <v>0</v>
      </c>
      <c r="I13" s="939">
        <f t="shared" si="0"/>
        <v>0</v>
      </c>
      <c r="J13" s="938">
        <f t="shared" si="0"/>
        <v>0</v>
      </c>
      <c r="K13" s="938">
        <f t="shared" si="0"/>
        <v>0</v>
      </c>
      <c r="L13" s="940">
        <f t="shared" si="0"/>
        <v>0</v>
      </c>
      <c r="M13" s="940">
        <f t="shared" si="0"/>
        <v>0</v>
      </c>
      <c r="N13" s="938">
        <f t="shared" si="0"/>
        <v>354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200</v>
      </c>
      <c r="AE13" s="938">
        <f t="shared" si="1"/>
        <v>0</v>
      </c>
      <c r="AF13" s="938">
        <f t="shared" si="1"/>
        <v>0</v>
      </c>
      <c r="AG13" s="938">
        <f t="shared" si="1"/>
        <v>0</v>
      </c>
      <c r="AH13" s="938">
        <f t="shared" si="1"/>
        <v>7562</v>
      </c>
      <c r="AI13" s="938">
        <f t="shared" si="1"/>
        <v>0</v>
      </c>
      <c r="AJ13" s="938">
        <f t="shared" si="1"/>
        <v>0</v>
      </c>
      <c r="AK13" s="938">
        <f t="shared" si="1"/>
        <v>0</v>
      </c>
      <c r="AL13" s="938">
        <f t="shared" si="1"/>
        <v>277</v>
      </c>
      <c r="AM13" s="938">
        <f t="shared" si="1"/>
        <v>570</v>
      </c>
      <c r="AN13" s="938">
        <f t="shared" si="1"/>
        <v>0</v>
      </c>
      <c r="AO13" s="938">
        <f t="shared" si="1"/>
        <v>0</v>
      </c>
      <c r="AP13" s="943">
        <f>IF(ISNUMBER(((Datos!L13/Datos!K13)*11)/factor_trimestre),((Datos!L13/Datos!K13)*11)/factor_trimestre," - ")</f>
        <v>8.8570254724732944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2.0788336933045357E-2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10.044334975369459</v>
      </c>
      <c r="AQ18" s="943">
        <f>IF(ISNUMBER(((Datos!M18/Datos!L18)*11)/factor_trimestre),((Datos!M18/Datos!L18)*11)/factor_trimestre," - ")</f>
        <v>0.18244237371260422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-5.3639846743295021E-2</v>
      </c>
      <c r="AW18" s="945">
        <f>IF(ISNUMBER((Datos!Q18-Datos!R18)/(Datos!S18-Datos!Q18+Datos!R18)),(Datos!Q18-Datos!R18)/(Datos!S18-Datos!Q18+Datos!R18)," - ")</f>
        <v>-0.1353826030085023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0</v>
      </c>
      <c r="G19" s="950">
        <f t="shared" si="4"/>
        <v>5</v>
      </c>
      <c r="H19" s="950">
        <f t="shared" si="4"/>
        <v>0</v>
      </c>
      <c r="I19" s="951">
        <f t="shared" si="4"/>
        <v>0</v>
      </c>
      <c r="J19" s="952">
        <f t="shared" si="4"/>
        <v>0</v>
      </c>
      <c r="K19" s="952">
        <f t="shared" si="4"/>
        <v>0</v>
      </c>
      <c r="L19" s="952">
        <f t="shared" si="4"/>
        <v>0</v>
      </c>
      <c r="M19" s="952">
        <f t="shared" si="4"/>
        <v>0</v>
      </c>
      <c r="N19" s="951">
        <f t="shared" si="4"/>
        <v>354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200</v>
      </c>
      <c r="AE19" s="956">
        <f t="shared" si="5"/>
        <v>0</v>
      </c>
      <c r="AF19" s="957">
        <f t="shared" si="5"/>
        <v>0</v>
      </c>
      <c r="AG19" s="957">
        <f t="shared" si="5"/>
        <v>0</v>
      </c>
      <c r="AH19" s="957">
        <f t="shared" si="5"/>
        <v>7562</v>
      </c>
      <c r="AI19" s="957">
        <f t="shared" si="5"/>
        <v>0</v>
      </c>
      <c r="AJ19" s="958">
        <f t="shared" si="5"/>
        <v>0</v>
      </c>
      <c r="AK19" s="958">
        <f t="shared" si="5"/>
        <v>0</v>
      </c>
      <c r="AL19" s="950">
        <f t="shared" si="5"/>
        <v>277</v>
      </c>
      <c r="AM19" s="950">
        <f t="shared" si="5"/>
        <v>570</v>
      </c>
      <c r="AN19" s="950">
        <f t="shared" si="5"/>
        <v>0</v>
      </c>
      <c r="AO19" s="950">
        <f t="shared" si="5"/>
        <v>0</v>
      </c>
      <c r="AP19" s="950">
        <f>IF(ISNUMBER(((Datos!L19/Datos!K19)*11)/factor_trimestre),((Datos!L19/Datos!K19)*11)/factor_trimestre," - ")</f>
        <v>9.2530120481927725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1.8255313600208632E-2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0</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159.92602456552632</v>
      </c>
      <c r="AM21" s="735"/>
      <c r="AN21" s="735">
        <f>IF(ISNUMBER(STDEV(AN8:AN18)),STDEV(AN8:AN18),"-")</f>
        <v>0</v>
      </c>
      <c r="AO21" s="741">
        <f>IF(ISNUMBER(STDEV(AO8:AO18)),STDEV(AO8:AO18),"-")</f>
        <v>0</v>
      </c>
      <c r="AP21" s="778">
        <f>IF(ISNUMBER(STDEV(AP8:AP18)),STDEV(AP8:AP18),"-")</f>
        <v>0.81284642617649583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tdlylKEiR6ilzk3mFeTL5pKPDHSyVoFQ0OEvnhomjmqcnCDwRU2/A1gZz+LCUC/S3KPp0pxNP1pQvvGfpaPRyg==" saltValue="IrUohYUoSan332DZ4ls8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NOVELDA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XkLC2YRuF09Pruc5NUy8HYgvo8E5oiNajXs9PYZ4IHwHJArAh1vY8bNTTgv8PjNpIWPqy0H5wqLehGsGteQ8IQ==" saltValue="la4gs2enefK55ehOVJ7C4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NOVELDA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277</v>
      </c>
      <c r="E12" s="403">
        <f t="shared" si="0"/>
        <v>69.25</v>
      </c>
      <c r="F12" s="402">
        <f>IF(ISNUMBER(Datos!N12),Datos!N12," - ")</f>
        <v>570</v>
      </c>
      <c r="G12" s="403">
        <f t="shared" si="1"/>
        <v>142.5</v>
      </c>
      <c r="H12" s="402">
        <f>IF(ISNUMBER(Datos!O12),Datos!O12," - ")</f>
        <v>575</v>
      </c>
      <c r="I12" s="403">
        <f t="shared" si="2"/>
        <v>143.75</v>
      </c>
      <c r="BZ12" s="1185">
        <f>Datos!EZ12</f>
        <v>0</v>
      </c>
    </row>
    <row r="13" spans="1:78" ht="14.25" thickTop="1" thickBot="1">
      <c r="A13" s="847" t="str">
        <f>Datos!A13</f>
        <v>TOTAL</v>
      </c>
      <c r="B13" s="848">
        <f>Datos!AP13</f>
        <v>4</v>
      </c>
      <c r="C13" s="850">
        <f>Datos!AR13</f>
        <v>4</v>
      </c>
      <c r="D13" s="848">
        <f>SUBTOTAL(9,D9:D12)</f>
        <v>277</v>
      </c>
      <c r="E13" s="849">
        <f t="shared" si="0"/>
        <v>69.25</v>
      </c>
      <c r="F13" s="848">
        <f>SUBTOTAL(9,F9:F12)</f>
        <v>570</v>
      </c>
      <c r="G13" s="849">
        <f t="shared" si="1"/>
        <v>142.5</v>
      </c>
      <c r="H13" s="848">
        <f>SUBTOTAL(9,H9:H12)</f>
        <v>575</v>
      </c>
      <c r="I13" s="849">
        <f>IF(ISNUMBER(H13/B13),H13/B13," - ")</f>
        <v>143.75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124</v>
      </c>
      <c r="E16" s="403">
        <f t="shared" si="3"/>
        <v>31</v>
      </c>
      <c r="F16" s="402">
        <f>IF(ISNUMBER(Datos!N16),Datos!N16," - ")</f>
        <v>376</v>
      </c>
      <c r="G16" s="403">
        <f t="shared" si="4"/>
        <v>94</v>
      </c>
      <c r="H16" s="402">
        <f>IF(ISNUMBER(Datos!O16),Datos!O16," - ")</f>
        <v>5</v>
      </c>
      <c r="I16" s="403">
        <f t="shared" si="5"/>
        <v>1.25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124</v>
      </c>
      <c r="E18" s="849">
        <f t="shared" si="3"/>
        <v>31</v>
      </c>
      <c r="F18" s="848">
        <f>SUBTOTAL(9,F15:F17)</f>
        <v>376</v>
      </c>
      <c r="G18" s="849">
        <f t="shared" si="4"/>
        <v>94</v>
      </c>
      <c r="H18" s="848">
        <f>SUBTOTAL(9,H15:H17)</f>
        <v>5</v>
      </c>
      <c r="I18" s="849">
        <f>IF(ISNUMBER(H18/B18),H18/B18," - ")</f>
        <v>1.25</v>
      </c>
      <c r="BZ18" s="1185"/>
    </row>
    <row r="19" spans="1:78" ht="14.25" thickTop="1" thickBot="1">
      <c r="A19" s="792" t="str">
        <f>Datos!A19</f>
        <v>TOTAL JURISDICCIONES</v>
      </c>
      <c r="B19" s="793">
        <f>Datos!AP19</f>
        <v>4</v>
      </c>
      <c r="C19" s="793">
        <f>Datos!AR19</f>
        <v>4</v>
      </c>
      <c r="D19" s="793">
        <f>SUBTOTAL(9,D8:D18)</f>
        <v>401</v>
      </c>
      <c r="E19" s="794">
        <f>IF(ISNUMBER(D19/B19),D19/B19," - ")</f>
        <v>100.25</v>
      </c>
      <c r="F19" s="793">
        <f>SUBTOTAL(9,F8:F18)</f>
        <v>946</v>
      </c>
      <c r="G19" s="794">
        <f>IF(ISNUMBER(F19/B19),F19/B19," - ")</f>
        <v>236.5</v>
      </c>
      <c r="H19" s="793">
        <f>SUBTOTAL(9,H8:H18)</f>
        <v>580</v>
      </c>
      <c r="I19" s="794">
        <f>IF(ISNUMBER(H19/B19),H19/B19," - ")</f>
        <v>145</v>
      </c>
    </row>
    <row r="22" spans="1:78">
      <c r="A22" s="390" t="str">
        <f>Criterios!A4</f>
        <v>Fecha Informe: 17 mar. 2026</v>
      </c>
    </row>
    <row r="27" spans="1:78">
      <c r="A27" s="413"/>
    </row>
  </sheetData>
  <sheetProtection algorithmName="SHA-512" hashValue="c9BnIxqnaOAEsRAPQ+Z7RvJu1XIns+clQb50VZuI4EgXWTNFGeKTgc/Fo4i/VLjINYBWzLKrwhoFQxIPjIww4Q==" saltValue="Dwtg1aTJ90vst8o4Vr8I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NOVELDA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354</v>
      </c>
      <c r="C12" s="433">
        <f>IF(ISNUMBER(Datos!Q12),Datos!Q12," - ")</f>
        <v>200</v>
      </c>
      <c r="D12" s="407">
        <f>IF(ISNUMBER(Datos!R12),Datos!R12," - ")</f>
        <v>7562</v>
      </c>
    </row>
    <row r="13" spans="1:4" ht="14.25" thickTop="1" thickBot="1">
      <c r="A13" s="847" t="str">
        <f>Datos!A13</f>
        <v>TOTAL</v>
      </c>
      <c r="B13" s="848">
        <f>SUBTOTAL(9,B9:B12)</f>
        <v>354</v>
      </c>
      <c r="C13" s="852">
        <f>SUBTOTAL(9,C9:C12)</f>
        <v>200</v>
      </c>
      <c r="D13" s="850">
        <f>SUBTOTAL(9,D9:D12)</f>
        <v>7562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40</v>
      </c>
      <c r="D16" s="407">
        <f>IF(ISNUMBER(Datos!R16),Datos!R16," - ")</f>
        <v>247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26</v>
      </c>
      <c r="C18" s="852">
        <f>SUBTOTAL(9,C15:C17)</f>
        <v>40</v>
      </c>
      <c r="D18" s="850">
        <f>SUBTOTAL(9,D15:D17)</f>
        <v>247</v>
      </c>
    </row>
    <row r="19" spans="1:4" ht="16.5" customHeight="1" thickTop="1" thickBot="1">
      <c r="A19" s="792" t="str">
        <f>Datos!A19</f>
        <v>TOTAL JURISDICCIONES</v>
      </c>
      <c r="B19" s="797">
        <f>SUBTOTAL(9,B8:B18)</f>
        <v>380</v>
      </c>
      <c r="C19" s="798">
        <f>SUBTOTAL(9,C8:C18)</f>
        <v>240</v>
      </c>
      <c r="D19" s="799">
        <f>SUBTOTAL(9,D8:D18)</f>
        <v>7809</v>
      </c>
    </row>
    <row r="20" spans="1:4" ht="7.5" customHeight="1"/>
    <row r="21" spans="1:4" ht="6" customHeight="1"/>
    <row r="22" spans="1:4">
      <c r="A22" s="390" t="str">
        <f>Criterios!A4</f>
        <v>Fecha Informe: 17 mar. 2026</v>
      </c>
    </row>
    <row r="27" spans="1:4">
      <c r="A27" s="413"/>
    </row>
  </sheetData>
  <sheetProtection algorithmName="SHA-512" hashValue="9pMIxd2+r6yOSVMxb+kr9ZI+8qUVCfclVlipDqK4W6HkD+/je53TsoonwnVFzihfZzF8PmVZADHJeTqKU9A4LA==" saltValue="9CsSvvNQPrK/1m7YZqUN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NOVELDA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-0.44444444444444442</v>
      </c>
      <c r="C10" s="455" t="str">
        <f>IF(ISNUMBER((Datos!J10-Datos!T10)/Datos!T10),(Datos!J10-Datos!T10)/Datos!T10," - ")</f>
        <v xml:space="preserve"> - </v>
      </c>
      <c r="D10" s="455">
        <f>IF(ISNUMBER((Datos!K10-Datos!U10)/Datos!U10),(Datos!K10-Datos!U10)/Datos!U10," - ")</f>
        <v>-1</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-3.0787878787878788E-2</v>
      </c>
      <c r="C12" s="455">
        <f>IF(ISNUMBER(
   IF(J_V="SI",(Datos!J12-Datos!T12)/Datos!T12,(Datos!J12+Datos!Z12-(Datos!T12+Datos!AH12))/(Datos!T12+Datos!AH12))
     ),IF(J_V="SI",(Datos!J12-Datos!T12)/Datos!T12,(Datos!J12+Datos!Z12-(Datos!T12+Datos!AH12))/(Datos!T12+Datos!AH12))," - ")</f>
        <v>-9.9739809193408496E-2</v>
      </c>
      <c r="D12" s="455">
        <f>IF(ISNUMBER(
   IF(J_V="SI",(Datos!K12-Datos!U12)/Datos!U12,(Datos!K12+Datos!AA12-(Datos!U12+Datos!AI12))/(Datos!U12+Datos!AI12))
     ),IF(J_V="SI",(Datos!K12-Datos!U12)/Datos!U12,(Datos!K12+Datos!AA12-(Datos!U12+Datos!AI12))/(Datos!U12+Datos!AI12))," - ")</f>
        <v>0.10318791946308725</v>
      </c>
      <c r="E12" s="455">
        <f>IF(ISNUMBER(
   IF(J_V="SI",(Datos!L12-Datos!V12)/Datos!V12,(Datos!L12+Datos!AB12-(Datos!V12+Datos!AJ12))/(Datos!V12+Datos!AJ12))
     ),IF(J_V="SI",(Datos!L12-Datos!V12)/Datos!V12,(Datos!L12+Datos!AB12-(Datos!V12+Datos!AJ12))/(Datos!V12+Datos!AJ12))," - ")</f>
        <v>-8.9329417523250118E-2</v>
      </c>
      <c r="F12" s="455">
        <f>IF(ISNUMBER((Datos!M12-Datos!W12)/Datos!W12),(Datos!M12-Datos!W12)/Datos!W12," - ")</f>
        <v>1.0948905109489052E-2</v>
      </c>
      <c r="G12" s="456">
        <f>IF(ISNUMBER((Datos!N12-Datos!X12)/Datos!X12),(Datos!N12-Datos!X12)/Datos!X12," - ")</f>
        <v>1.1428571428571428</v>
      </c>
      <c r="H12" s="454">
        <f>IF(ISNUMBER(((NºAsuntos!G12/NºAsuntos!E12)-Datos!BD12)/Datos!BD12),((NºAsuntos!G12/NºAsuntos!E12)-Datos!BD12)/Datos!BD12," - ")</f>
        <v>0.22541008780437358</v>
      </c>
      <c r="I12" s="455">
        <f>IF(ISNUMBER(((NºAsuntos!I12/NºAsuntos!G12)-Datos!BE12)/Datos!BE12),((NºAsuntos!I12/NºAsuntos!G12)-Datos!BE12)/Datos!BE12," - ")</f>
        <v>-0.1745100119298206</v>
      </c>
      <c r="J12" s="460">
        <f>IF(ISNUMBER((('Resol  Asuntos'!D12/NºAsuntos!G12)-Datos!BF12)/Datos!BF12),(('Resol  Asuntos'!D12/NºAsuntos!G12)-Datos!BF12)/Datos!BF12," - ")</f>
        <v>-5.6050773321135575E-2</v>
      </c>
      <c r="K12" s="461">
        <f>IF(ISNUMBER((((NºAsuntos!C12+NºAsuntos!E12)/NºAsuntos!G12)-Datos!BG12)/Datos!BG12),(((NºAsuntos!C12+NºAsuntos!E12)/NºAsuntos!G12)-Datos!BG12)/Datos!BG12," - ")</f>
        <v>-0.13509812594642792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-3.1688437348814706E-2</v>
      </c>
      <c r="C13" s="854">
        <f>IF(ISNUMBER(
   IF(J_V="SI",(Datos!J13-Datos!T13)/Datos!T13,(Datos!J13+Datos!Z13-(Datos!T13+Datos!AH13))/(Datos!T13+Datos!AH13))
     ),IF(J_V="SI",(Datos!J13-Datos!T13)/Datos!T13,(Datos!J13+Datos!Z13-(Datos!T13+Datos!AH13))/(Datos!T13+Datos!AH13))," - ")</f>
        <v>-9.9739809193408496E-2</v>
      </c>
      <c r="D13" s="854">
        <f>IF(ISNUMBER(
   IF(J_V="SI",(Datos!K13-Datos!U13)/Datos!U13,(Datos!K13+Datos!AA13-(Datos!U13+Datos!AI13))/(Datos!U13+Datos!AI13))
     ),IF(J_V="SI",(Datos!K13-Datos!U13)/Datos!U13,(Datos!K13+Datos!AA13-(Datos!U13+Datos!AI13))/(Datos!U13+Datos!AI13))," - ")</f>
        <v>9.9498327759197328E-2</v>
      </c>
      <c r="E13" s="854">
        <f>IF(ISNUMBER(
   IF(J_V="SI",(Datos!L13-Datos!V13)/Datos!V13,(Datos!L13+Datos!AB13-(Datos!V13+Datos!AJ13))/(Datos!V13+Datos!AJ13))
     ),IF(J_V="SI",(Datos!L13-Datos!V13)/Datos!V13,(Datos!L13+Datos!AB13-(Datos!V13+Datos!AJ13))/(Datos!V13+Datos!AJ13))," - ")</f>
        <v>-9.0442434612564168E-2</v>
      </c>
      <c r="F13" s="855">
        <f>IF(ISNUMBER((Datos!M13-Datos!W13)/Datos!W13),(Datos!M13-Datos!W13)/Datos!W13," - ")</f>
        <v>-3.5971223021582736E-3</v>
      </c>
      <c r="G13" s="856">
        <f>IF(ISNUMBER((Datos!N13-Datos!X13)/Datos!X13),(Datos!N13-Datos!X13)/Datos!X13," - ")</f>
        <v>1.1428571428571428</v>
      </c>
      <c r="H13" s="856">
        <f>IF(ISNUMBER(((NºAsuntos!G13/NºAsuntos!E13)-Datos!BD13)/Datos!BD13),((NºAsuntos!G13/NºAsuntos!E13)-Datos!BD13)/Datos!BD13," - ")</f>
        <v>0.22131172630670012</v>
      </c>
      <c r="I13" s="856">
        <f>IF(ISNUMBER(((NºAsuntos!I13/NºAsuntos!G13)-Datos!BE13)/Datos!BE13),((NºAsuntos!I13/NºAsuntos!G13)-Datos!BE13)/Datos!BE13," - ")</f>
        <v>-0.17275220668944999</v>
      </c>
      <c r="J13" s="856">
        <f>IF(ISNUMBER((('Resol  Asuntos'!D13/NºAsuntos!G13)-Datos!BF13)/Datos!BF13),(('Resol  Asuntos'!D13/NºAsuntos!G13)-Datos!BF13)/Datos!BF13," - ")</f>
        <v>-6.6914519081819404E-2</v>
      </c>
      <c r="K13" s="856">
        <f>IF(ISNUMBER((((NºAsuntos!C13+NºAsuntos!E13)/NºAsuntos!G13)-Datos!BG13)/Datos!BG13),(((NºAsuntos!C13+NºAsuntos!E13)/NºAsuntos!G13)-Datos!BG13)/Datos!BG13," - ")</f>
        <v>-0.13281288992801768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0.32615384615384613</v>
      </c>
      <c r="C16" s="455">
        <f>IF(ISNUMBER(
   IF(D_I="SI",(Datos!J16-Datos!T16)/Datos!T16,(Datos!J16+Datos!AD16-(Datos!T16+Datos!AL16))/(Datos!T16+Datos!AL16))
     ),IF(D_I="SI",(Datos!J16-Datos!T16)/Datos!T16,(Datos!J16+Datos!AD16-(Datos!T16+Datos!AL16))/(Datos!T16+Datos!AL16))," - ")</f>
        <v>0.2662807525325615</v>
      </c>
      <c r="D16" s="455">
        <f>IF(ISNUMBER(
   IF(D_I="SI",(Datos!K16-Datos!U16)/Datos!U16,(Datos!K16+Datos!AE16-(Datos!U16+Datos!AM16))/(Datos!U16+Datos!AM16))
     ),IF(D_I="SI",(Datos!K16-Datos!U16)/Datos!U16,(Datos!K16+Datos!AE16-(Datos!U16+Datos!AM16))/(Datos!U16+Datos!AM16))," - ")</f>
        <v>-5.1401869158878503E-2</v>
      </c>
      <c r="E16" s="455">
        <f>IF(ISNUMBER(
   IF(D_I="SI",(Datos!L16-Datos!V16)/Datos!V16,(Datos!L16+Datos!AF16-(Datos!V16+Datos!AN16))/(Datos!V16+Datos!AN16))
     ),IF(D_I="SI",(Datos!L16-Datos!V16)/Datos!V16,(Datos!L16+Datos!AF16-(Datos!V16+Datos!AN16))/(Datos!V16+Datos!AN16))," - ")</f>
        <v>0.50296296296296295</v>
      </c>
      <c r="F16" s="455">
        <f>IF(ISNUMBER((Datos!M16-Datos!W16)/Datos!W16),(Datos!M16-Datos!W16)/Datos!W16," - ")</f>
        <v>-6.0606060606060608E-2</v>
      </c>
      <c r="G16" s="456">
        <f>IF(ISNUMBER((Datos!N16-Datos!X16)/Datos!X16),(Datos!N16-Datos!X16)/Datos!X16," - ")</f>
        <v>0.11242603550295859</v>
      </c>
      <c r="H16" s="454">
        <f>IF(ISNUMBER(((NºAsuntos!G16/NºAsuntos!E16)-Datos!BD16)/Datos!BD16),((NºAsuntos!G16/NºAsuntos!E16)-Datos!BD16)/Datos!BD16," - ")</f>
        <v>-0.2508785046728973</v>
      </c>
      <c r="I16" s="455">
        <f>IF(ISNUMBER(((NºAsuntos!I16/NºAsuntos!G16)-Datos!BE16)/Datos!BE16),((NºAsuntos!I16/NºAsuntos!G16)-Datos!BE16)/Datos!BE16," - ")</f>
        <v>0.58440430578361613</v>
      </c>
      <c r="J16" s="460">
        <f>IF(ISNUMBER((('Resol  Asuntos'!D16/NºAsuntos!G16)-Datos!BF16)/Datos!BF16),(('Resol  Asuntos'!D16/NºAsuntos!G16)-Datos!BF16)/Datos!BF16," - ")</f>
        <v>-9.7029407374234662E-3</v>
      </c>
      <c r="K16" s="461">
        <f>IF(ISNUMBER((((NºAsuntos!C16+NºAsuntos!E16)/NºAsuntos!G16)-Datos!BG16)/Datos!BG16),(((NºAsuntos!C16+NºAsuntos!E16)/NºAsuntos!G16)-Datos!BG16)/Datos!BG16," - ")</f>
        <v>0.37610874551244139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-0.54545454545454541</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-0.16666666666666666</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0.31164901664145234</v>
      </c>
      <c r="C18" s="854">
        <f>IF(ISNUMBER(
   IF(Criterios!B14="SI",(Datos!J18-Datos!T18)/Datos!T18,(Datos!J18+Datos!AD18-(Datos!T18+Datos!AL18))/(Datos!T18+Datos!AL18))
     ),IF(Criterios!B14="SI",(Datos!J18-Datos!T18)/Datos!T18,(Datos!J18+Datos!AD18-(Datos!T18+Datos!AL18))/(Datos!T18+Datos!AL18))," - ")</f>
        <v>0.2662807525325615</v>
      </c>
      <c r="D18" s="854">
        <f>IF(ISNUMBER(
   IF(Criterios!B14="SI",(Datos!K18-Datos!U18)/Datos!U18,(Datos!K18+Datos!AE18-(Datos!U18+Datos!AM18))/(Datos!U18+Datos!AM18))
     ),IF(Criterios!B14="SI",(Datos!K18-Datos!U18)/Datos!U18,(Datos!K18+Datos!AE18-(Datos!U18+Datos!AM18))/(Datos!U18+Datos!AM18))," - ")</f>
        <v>-6.5950920245398767E-2</v>
      </c>
      <c r="E18" s="854">
        <f>IF(ISNUMBER(
   IF(Criterios!B14="SI",(Datos!L18-Datos!V18)/Datos!V18,(Datos!L18+Datos!AF18-(Datos!V18+Datos!AN18))/(Datos!V18+Datos!AN18))
     ),IF(Criterios!B14="SI",(Datos!L18-Datos!V18)/Datos!V18,(Datos!L18+Datos!AF18-(Datos!V18+Datos!AN18))/(Datos!V18+Datos!AN18))," - ")</f>
        <v>0.49706314243759175</v>
      </c>
      <c r="F18" s="855">
        <f>IF(ISNUMBER((Datos!M18-Datos!W18)/Datos!W18),(Datos!M18-Datos!W18)/Datos!W18," - ")</f>
        <v>-6.0606060606060608E-2</v>
      </c>
      <c r="G18" s="856">
        <f>IF(ISNUMBER((Datos!N18-Datos!X18)/Datos!X18),(Datos!N18-Datos!X18)/Datos!X18," - ")</f>
        <v>0.11242603550295859</v>
      </c>
      <c r="H18" s="856">
        <f>IF(ISNUMBER(((NºAsuntos!G18/NºAsuntos!E18)-Datos!BD18)/Datos!BD18),((NºAsuntos!G18/NºAsuntos!E18)-Datos!BD18)/Datos!BD18," - ")</f>
        <v>-0.26236809815950929</v>
      </c>
      <c r="I18" s="856">
        <f>IF(ISNUMBER(((NºAsuntos!I18/NºAsuntos!G18)-Datos!BE18)/Datos!BE18),((NºAsuntos!I18/NºAsuntos!G18)-Datos!BE18)/Datos!BE18," - ")</f>
        <v>0.60276710815978618</v>
      </c>
      <c r="J18" s="856">
        <f>IF(ISNUMBER((('Resol  Asuntos'!D18/NºAsuntos!G18)-Datos!BF18)/Datos!BF18),(('Resol  Asuntos'!D18/NºAsuntos!G18)-Datos!BF18)/Datos!BF18," - ")</f>
        <v>5.722247101557467E-3</v>
      </c>
      <c r="K18" s="856">
        <f>IF(ISNUMBER((((NºAsuntos!C18+NºAsuntos!E18)/NºAsuntos!G18)-Datos!BG18)/Datos!BG18),(((NºAsuntos!C18+NºAsuntos!E18)/NºAsuntos!G18)-Datos!BG18)/Datos!BG18," - ")</f>
        <v>0.38758822987200625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5.1502932551319651E-2</v>
      </c>
      <c r="C19" s="801">
        <f>IF(ISNUMBER(
   IF(J_V="SI",(Datos!J19-Datos!T19)/Datos!T19,(Datos!J19+Datos!Z19-(Datos!T19+Datos!AH19))/(Datos!T19+Datos!AH19))
     ),IF(J_V="SI",(Datos!J19-Datos!T19)/Datos!T19,(Datos!J19+Datos!Z19-(Datos!T19+Datos!AH19))/(Datos!T19+Datos!AH19))," - ")</f>
        <v>3.7418655097613884E-2</v>
      </c>
      <c r="D19" s="801">
        <f>IF(ISNUMBER(
   IF(J_V="SI",(Datos!K19-Datos!U19)/Datos!U19,(Datos!K19+Datos!AA19-(Datos!U19+Datos!AI19))/(Datos!U19+Datos!AI19))
     ),IF(J_V="SI",(Datos!K19-Datos!U19)/Datos!U19,(Datos!K19+Datos!AA19-(Datos!U19+Datos!AI19))/(Datos!U19+Datos!AI19))," - ")</f>
        <v>4.1125541125541128E-2</v>
      </c>
      <c r="E19" s="801">
        <f>IF(ISNUMBER(
   IF(J_V="SI",(Datos!L19-Datos!V19)/Datos!V19,(Datos!L19+Datos!AB19-(Datos!V19+Datos!AJ19))/(Datos!V19+Datos!AJ19))
     ),IF(J_V="SI",(Datos!L19-Datos!V19)/Datos!V19,(Datos!L19+Datos!AB19-(Datos!V19+Datos!AJ19))/(Datos!V19+Datos!AJ19))," - ")</f>
        <v>5.6299284797359253E-2</v>
      </c>
      <c r="F19" s="802">
        <f>IF(ISNUMBER((Datos!M19-Datos!W19)/Datos!W19),(Datos!M19-Datos!W19)/Datos!W19," - ")</f>
        <v>-2.1951219512195121E-2</v>
      </c>
      <c r="G19" s="803">
        <f>IF(ISNUMBER((Datos!N19-Datos!X19)/Datos!X19),(Datos!N19-Datos!X19)/Datos!X19," - ")</f>
        <v>0.56622516556291391</v>
      </c>
      <c r="H19" s="804">
        <f>IF(ISNUMBER((Tasas!B19-Datos!BD19)/Datos!BD19),(Tasas!B19-Datos!BD19)/Datos!BD19," - ")</f>
        <v>3.5731823499727255E-3</v>
      </c>
      <c r="I19" s="805">
        <f>IF(ISNUMBER((Tasas!C19-Datos!BE19)/Datos!BE19),(Tasas!C19-Datos!BE19)/Datos!BE19," - ")</f>
        <v>1.457436502365907E-2</v>
      </c>
      <c r="J19" s="806">
        <f>IF(ISNUMBER((Tasas!D19-Datos!BF19)/Datos!BF19),(Tasas!D19-Datos!BF19)/Datos!BF19," - ")</f>
        <v>-4.1890340397803046E-2</v>
      </c>
      <c r="K19" s="806">
        <f>IF(ISNUMBER((Tasas!E19-Datos!BG19)/Datos!BG19),(Tasas!E19-Datos!BG19)/Datos!BG19," - ")</f>
        <v>6.5502805228833489E-3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eJHXkToRw02ifRg7N+JjRNnL91JKCyuXfto4u6HNDdgti+lhYWjjqnya92aRBqPUCMeLep8Lj1hczZQsbbFoA==" saltValue="186scfBsf/GAF93NzkYT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NOVELDA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1.2668593448940271</v>
      </c>
      <c r="C12" s="442">
        <f>IF(ISNUMBER(NºAsuntos!I12/NºAsuntos!G12),NºAsuntos!I12/NºAsuntos!G12," - ")</f>
        <v>2.8296577946768062</v>
      </c>
      <c r="D12" s="443">
        <f>IF(ISNUMBER('Resol  Asuntos'!D12/NºAsuntos!G12),'Resol  Asuntos'!D12/NºAsuntos!G12," - ")</f>
        <v>0.21064638783269962</v>
      </c>
      <c r="E12" s="444">
        <f>IF(ISNUMBER((NºAsuntos!C12+NºAsuntos!E12)/NºAsuntos!G12),(NºAsuntos!C12+NºAsuntos!E12)/NºAsuntos!G12," - ")</f>
        <v>3.8296577946768062</v>
      </c>
      <c r="G12" s="462"/>
    </row>
    <row r="13" spans="1:7" ht="14.25" thickTop="1" thickBot="1">
      <c r="A13" s="847" t="str">
        <f>Datos!A13</f>
        <v>TOTAL</v>
      </c>
      <c r="B13" s="857">
        <f>IF(ISNUMBER(NºAsuntos!G13/NºAsuntos!E13),NºAsuntos!G13/NºAsuntos!E13," - ")</f>
        <v>1.2668593448940271</v>
      </c>
      <c r="C13" s="858">
        <f>IF(ISNUMBER(NºAsuntos!I13/NºAsuntos!G13),NºAsuntos!I13/NºAsuntos!G13," - ")</f>
        <v>2.8296577946768062</v>
      </c>
      <c r="D13" s="859">
        <f>IF(ISNUMBER('Resol  Asuntos'!D13/NºAsuntos!G13),'Resol  Asuntos'!D13/NºAsuntos!G13," - ")</f>
        <v>0.21064638783269962</v>
      </c>
      <c r="E13" s="860">
        <f>IF(ISNUMBER((NºAsuntos!C13+NºAsuntos!E13)/NºAsuntos!G13),(NºAsuntos!C13+NºAsuntos!E13)/NºAsuntos!G13," - ")</f>
        <v>3.8334600760456272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0.69599999999999995</v>
      </c>
      <c r="C16" s="442">
        <f>IF(ISNUMBER(NºAsuntos!I16/NºAsuntos!G16),NºAsuntos!I16/NºAsuntos!G16," - ")</f>
        <v>3.3316912972085384</v>
      </c>
      <c r="D16" s="443">
        <f>IF(ISNUMBER('Resol  Asuntos'!D16/NºAsuntos!G16),'Resol  Asuntos'!D16/NºAsuntos!G16," - ")</f>
        <v>0.20361247947454844</v>
      </c>
      <c r="E16" s="444">
        <f>IF(ISNUMBER((NºAsuntos!C16+NºAsuntos!E16)/NºAsuntos!G16),(NºAsuntos!C16+NºAsuntos!E16)/NºAsuntos!G16," - ")</f>
        <v>4.2676518883415433</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0.69599999999999995</v>
      </c>
      <c r="C18" s="858">
        <f>IF(ISNUMBER(NºAsuntos!I18/NºAsuntos!G18),NºAsuntos!I18/NºAsuntos!G18," - ")</f>
        <v>3.3481116584564861</v>
      </c>
      <c r="D18" s="861">
        <f>IF(ISNUMBER('Resol  Asuntos'!D18/NºAsuntos!G18),'Resol  Asuntos'!D18/NºAsuntos!G18," - ")</f>
        <v>0.20361247947454844</v>
      </c>
      <c r="E18" s="860">
        <f>IF(ISNUMBER((NºAsuntos!C18+NºAsuntos!E18)/NºAsuntos!G18),(NºAsuntos!C18+NºAsuntos!E18)/NºAsuntos!G18," - ")</f>
        <v>4.2840722495894914</v>
      </c>
      <c r="G18" s="462"/>
    </row>
    <row r="19" spans="1:7" ht="15.75" customHeight="1" thickTop="1" thickBot="1">
      <c r="A19" s="792" t="str">
        <f>Datos!A19</f>
        <v>TOTAL JURISDICCIONES</v>
      </c>
      <c r="B19" s="807">
        <f>IF(ISNUMBER(NºAsuntos!G19/NºAsuntos!E19),NºAsuntos!G19/NºAsuntos!E19," - ")</f>
        <v>1.0057501306847882</v>
      </c>
      <c r="C19" s="808">
        <f>IF(ISNUMBER(NºAsuntos!I19/NºAsuntos!G19),NºAsuntos!I19/NºAsuntos!G19," - ")</f>
        <v>2.9937629937629939</v>
      </c>
      <c r="D19" s="809">
        <f>IF(ISNUMBER('Resol  Asuntos'!D19/NºAsuntos!G19),'Resol  Asuntos'!D19/NºAsuntos!G19," - ")</f>
        <v>0.20841995841995842</v>
      </c>
      <c r="E19" s="810">
        <f>IF(ISNUMBER((NºAsuntos!C19+NºAsuntos!E19)/NºAsuntos!G19),(NºAsuntos!C19+NºAsuntos!E19)/NºAsuntos!G19," - ")</f>
        <v>3.9760914760914763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ew4ljLBWdgBRs6fTDTdUGUKhZ9PPcVnpj8PtSLADi66N8rhb1O4X5HIRkBrNS2ofHiHsRWDsIkeFr43SbUc3A==" saltValue="QMSWh7+GrkTidM/qQlLZ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NOVELDA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200</v>
      </c>
      <c r="Y12" s="333">
        <f t="shared" si="0"/>
        <v>200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7562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277</v>
      </c>
      <c r="AJ12" s="228" t="str">
        <f>IF(ISNUMBER(Datos!BW12),Datos!BW12," - ")</f>
        <v xml:space="preserve"> - </v>
      </c>
      <c r="AK12" s="227" t="str">
        <f>IF(ISNUMBER(Datos!BX12),Datos!BX12," - ")</f>
        <v xml:space="preserve"> - </v>
      </c>
      <c r="AL12" s="242">
        <f>IF(ISNUMBER(NºAsuntos!G12/NºAsuntos!E12),NºAsuntos!G12/NºAsuntos!E12," - ")</f>
        <v>1.2668593448940271</v>
      </c>
      <c r="AM12" s="259">
        <f>IF(ISNUMBER(((NºAsuntos!I12/NºAsuntos!G12)*11)/factor_trimestre),((NºAsuntos!I12/NºAsuntos!G12)*11)/factor_trimestre," - ")</f>
        <v>8.4889733840304196</v>
      </c>
      <c r="AN12" s="243">
        <f>IF(ISNUMBER('Resol  Asuntos'!D12/NºAsuntos!G12),'Resol  Asuntos'!D12/NºAsuntos!G12," - ")</f>
        <v>0.21064638783269962</v>
      </c>
      <c r="AO12" s="244">
        <f>IF(ISNUMBER((NºAsuntos!C12+NºAsuntos!E12)/NºAsuntos!G12),(NºAsuntos!C12+NºAsuntos!E12)/NºAsuntos!G12," - ")</f>
        <v>3.8296577946768062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0</v>
      </c>
      <c r="G13" s="865">
        <f t="shared" si="3"/>
        <v>5</v>
      </c>
      <c r="H13" s="864">
        <f t="shared" si="3"/>
        <v>0</v>
      </c>
      <c r="I13" s="866">
        <f t="shared" si="3"/>
        <v>0</v>
      </c>
      <c r="J13" s="866">
        <f t="shared" si="3"/>
        <v>0</v>
      </c>
      <c r="K13" s="866">
        <f t="shared" si="3"/>
        <v>0</v>
      </c>
      <c r="L13" s="866">
        <f t="shared" si="3"/>
        <v>354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200</v>
      </c>
      <c r="Y13" s="867">
        <f t="shared" si="4"/>
        <v>200</v>
      </c>
      <c r="Z13" s="867">
        <f t="shared" si="4"/>
        <v>0</v>
      </c>
      <c r="AA13" s="867">
        <f t="shared" si="4"/>
        <v>0</v>
      </c>
      <c r="AB13" s="867">
        <f t="shared" si="4"/>
        <v>7562</v>
      </c>
      <c r="AC13" s="867">
        <f t="shared" si="4"/>
        <v>0</v>
      </c>
      <c r="AD13" s="867">
        <f t="shared" si="4"/>
        <v>0</v>
      </c>
      <c r="AE13" s="871">
        <f t="shared" si="4"/>
        <v>0</v>
      </c>
      <c r="AF13" s="864">
        <f t="shared" si="4"/>
        <v>0</v>
      </c>
      <c r="AG13" s="872">
        <f t="shared" si="4"/>
        <v>0</v>
      </c>
      <c r="AH13" s="869">
        <f t="shared" si="4"/>
        <v>0</v>
      </c>
      <c r="AI13" s="864">
        <f t="shared" si="4"/>
        <v>277</v>
      </c>
      <c r="AJ13" s="866">
        <f t="shared" si="4"/>
        <v>0</v>
      </c>
      <c r="AK13" s="869">
        <f>SUBTOTAL(9,AK9:AK12)</f>
        <v>0</v>
      </c>
      <c r="AL13" s="873">
        <f>IF(ISNUMBER(NºAsuntos!G13/NºAsuntos!E13),NºAsuntos!G13/NºAsuntos!E13," - ")</f>
        <v>1.2668593448940271</v>
      </c>
      <c r="AM13" s="873">
        <f>IF(ISNUMBER(((NºAsuntos!I13/NºAsuntos!G13)*11)/factor_trimestre),((NºAsuntos!I13/NºAsuntos!G13)*11)/factor_trimestre," - ")</f>
        <v>8.4889733840304196</v>
      </c>
      <c r="AN13" s="874">
        <f>IF(ISNUMBER('Resol  Asuntos'!D13/NºAsuntos!G13),'Resol  Asuntos'!D13/NºAsuntos!G13," - ")</f>
        <v>0.21064638783269962</v>
      </c>
      <c r="AO13" s="875">
        <f>IF(ISNUMBER((NºAsuntos!C13+NºAsuntos!E13)/NºAsuntos!G13),(NºAsuntos!C13+NºAsuntos!E13)/NºAsuntos!G13," - ")</f>
        <v>3.8334600760456272</v>
      </c>
      <c r="AP13" s="876" t="str">
        <f t="shared" si="2"/>
        <v xml:space="preserve"> - </v>
      </c>
      <c r="AQ13" s="876" t="str">
        <f>IF(ISNUMBER((H13-W13+K13)/(F13)),(H13-W13+K13)/(F13)," - ")</f>
        <v xml:space="preserve"> - </v>
      </c>
      <c r="AR13" s="877">
        <f>IF(ISNUMBER((Datos!P13-Datos!Q13)/(Datos!R13-Datos!P13+Datos!Q13)),(Datos!P13-Datos!Q13)/(Datos!R13-Datos!P13+Datos!Q13)," - ")</f>
        <v>2.0788336933045357E-2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1763</v>
      </c>
      <c r="G16" s="332">
        <f>IF(ISNUMBER(IF(D_I="SI",Datos!I16,Datos!I16+Datos!AC16)),IF(D_I="SI",Datos!I16,Datos!I16+Datos!AC16)," - ")</f>
        <v>1724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609</v>
      </c>
      <c r="X16" s="225">
        <f>IF(ISNUMBER(Datos!Q16),Datos!Q16," - ")</f>
        <v>40</v>
      </c>
      <c r="Y16" s="333">
        <f t="shared" ref="Y16:Y17" si="7">SUM(W16:X16)</f>
        <v>649</v>
      </c>
      <c r="Z16" s="334" t="str">
        <f>IF(ISNUMBER(Datos!CC16),Datos!CC16," - ")</f>
        <v xml:space="preserve"> - </v>
      </c>
      <c r="AA16" s="331">
        <f>IF(ISNUMBER(IF(D_I="SI",Datos!L16,Datos!L16+Datos!AF16)),IF(D_I="SI",Datos!L16,Datos!L16+Datos!AF16)," - ")</f>
        <v>2029</v>
      </c>
      <c r="AB16" s="333">
        <f>IF(ISNUMBER(Datos!R16),Datos!R16," - ")</f>
        <v>247</v>
      </c>
      <c r="AC16" s="333">
        <f t="shared" si="6"/>
        <v>2276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124</v>
      </c>
      <c r="AJ16" s="230" t="str">
        <f>IF(ISNUMBER(Datos!BW16),Datos!BW16," - ")</f>
        <v xml:space="preserve"> - </v>
      </c>
      <c r="AK16" s="231" t="str">
        <f>IF(ISNUMBER(Datos!BX16),Datos!BX16," - ")</f>
        <v xml:space="preserve"> - </v>
      </c>
      <c r="AL16" s="242">
        <f>IF(ISNUMBER(NºAsuntos!G16/NºAsuntos!E16),NºAsuntos!G16/NºAsuntos!E16," - ")</f>
        <v>0.69599999999999995</v>
      </c>
      <c r="AM16" s="259">
        <f>IF(ISNUMBER(((NºAsuntos!I16/NºAsuntos!G16)*11)/factor_trimestre),((NºAsuntos!I16/NºAsuntos!G16)*11)/factor_trimestre," - ")</f>
        <v>9.9950738916256139</v>
      </c>
      <c r="AN16" s="243">
        <f>IF(ISNUMBER('Resol  Asuntos'!D16/NºAsuntos!G16),'Resol  Asuntos'!D16/NºAsuntos!G16," - ")</f>
        <v>0.20361247947454844</v>
      </c>
      <c r="AO16" s="244">
        <f>IF(ISNUMBER((NºAsuntos!C16+NºAsuntos!E16)/NºAsuntos!G16),(NºAsuntos!C16+NºAsuntos!E16)/NºAsuntos!G16," - ")</f>
        <v>4.2676518883415433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10</v>
      </c>
      <c r="AB17" s="333">
        <f>IF(ISNUMBER(Datos!R17),Datos!R17," - ")</f>
        <v>0</v>
      </c>
      <c r="AC17" s="333">
        <f t="shared" si="6"/>
        <v>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1763</v>
      </c>
      <c r="G18" s="865">
        <f>SUBTOTAL(9,G15:G17)</f>
        <v>1734</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609</v>
      </c>
      <c r="X18" s="866">
        <f t="shared" si="11"/>
        <v>40</v>
      </c>
      <c r="Y18" s="867">
        <f t="shared" si="11"/>
        <v>649</v>
      </c>
      <c r="Z18" s="867">
        <f t="shared" si="11"/>
        <v>0</v>
      </c>
      <c r="AA18" s="867">
        <f t="shared" si="11"/>
        <v>2039</v>
      </c>
      <c r="AB18" s="867">
        <f t="shared" si="11"/>
        <v>247</v>
      </c>
      <c r="AC18" s="867">
        <f t="shared" si="11"/>
        <v>2286</v>
      </c>
      <c r="AD18" s="867">
        <f t="shared" si="11"/>
        <v>0</v>
      </c>
      <c r="AE18" s="871">
        <f t="shared" si="11"/>
        <v>0</v>
      </c>
      <c r="AF18" s="864">
        <f t="shared" si="11"/>
        <v>0</v>
      </c>
      <c r="AG18" s="872">
        <f t="shared" si="11"/>
        <v>0</v>
      </c>
      <c r="AH18" s="869">
        <f t="shared" si="11"/>
        <v>0</v>
      </c>
      <c r="AI18" s="864">
        <f t="shared" si="11"/>
        <v>124</v>
      </c>
      <c r="AJ18" s="866">
        <f t="shared" si="11"/>
        <v>0</v>
      </c>
      <c r="AK18" s="869">
        <f t="shared" si="11"/>
        <v>0</v>
      </c>
      <c r="AL18" s="873">
        <f>IF(ISNUMBER(NºAsuntos!G18/NºAsuntos!E18),NºAsuntos!G18/NºAsuntos!E18," - ")</f>
        <v>0.69599999999999995</v>
      </c>
      <c r="AM18" s="873">
        <f>IF(ISNUMBER(((NºAsuntos!I18/NºAsuntos!G18)*11)/factor_trimestre),((NºAsuntos!I18/NºAsuntos!G18)*11)/factor_trimestre," - ")</f>
        <v>10.044334975369459</v>
      </c>
      <c r="AN18" s="874">
        <f>IF(ISNUMBER('Resol  Asuntos'!D18/NºAsuntos!G18),'Resol  Asuntos'!D18/NºAsuntos!G18," - ")</f>
        <v>0.20361247947454844</v>
      </c>
      <c r="AO18" s="875">
        <f>IF(ISNUMBER((NºAsuntos!C18+NºAsuntos!E18)/NºAsuntos!G18),(NºAsuntos!C18+NºAsuntos!E18)/NºAsuntos!G18," - ")</f>
        <v>4.2840722495894914</v>
      </c>
      <c r="AP18" s="876" t="str">
        <f t="shared" si="2"/>
        <v xml:space="preserve"> - </v>
      </c>
      <c r="AQ18" s="876">
        <f>IF(ISNUMBER((H18-W18+K18)/(F18)),(H18-W18+K18)/(F18)," - ")</f>
        <v>-0.34543391945547364</v>
      </c>
      <c r="AR18" s="877">
        <f>IF(ISNUMBER((Datos!P18-Datos!Q18)/(Datos!R18-Datos!P18+Datos!Q18)),(Datos!P18-Datos!Q18)/(Datos!R18-Datos!P18+Datos!Q18)," - ")</f>
        <v>-5.3639846743295021E-2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1763</v>
      </c>
      <c r="G19" s="820">
        <f t="shared" si="13"/>
        <v>1739</v>
      </c>
      <c r="H19" s="819">
        <f t="shared" si="13"/>
        <v>0</v>
      </c>
      <c r="I19" s="821">
        <f t="shared" si="13"/>
        <v>0</v>
      </c>
      <c r="J19" s="821">
        <f t="shared" si="13"/>
        <v>0</v>
      </c>
      <c r="K19" s="880">
        <f t="shared" si="13"/>
        <v>0</v>
      </c>
      <c r="L19" s="821">
        <f t="shared" si="13"/>
        <v>380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609</v>
      </c>
      <c r="X19" s="820">
        <f t="shared" si="14"/>
        <v>240</v>
      </c>
      <c r="Y19" s="827">
        <f t="shared" si="14"/>
        <v>849</v>
      </c>
      <c r="Z19" s="827">
        <f t="shared" si="14"/>
        <v>0</v>
      </c>
      <c r="AA19" s="827">
        <f t="shared" si="14"/>
        <v>2039</v>
      </c>
      <c r="AB19" s="827">
        <f t="shared" si="14"/>
        <v>7809</v>
      </c>
      <c r="AC19" s="827">
        <f t="shared" si="14"/>
        <v>2286</v>
      </c>
      <c r="AD19" s="827">
        <f t="shared" si="14"/>
        <v>0</v>
      </c>
      <c r="AE19" s="829">
        <f t="shared" si="14"/>
        <v>0</v>
      </c>
      <c r="AF19" s="830">
        <f t="shared" si="14"/>
        <v>0</v>
      </c>
      <c r="AG19" s="831">
        <f t="shared" si="14"/>
        <v>0</v>
      </c>
      <c r="AH19" s="829">
        <f t="shared" si="14"/>
        <v>0</v>
      </c>
      <c r="AI19" s="819">
        <f t="shared" si="14"/>
        <v>401</v>
      </c>
      <c r="AJ19" s="819">
        <f t="shared" si="14"/>
        <v>0</v>
      </c>
      <c r="AK19" s="829">
        <f t="shared" si="14"/>
        <v>0</v>
      </c>
      <c r="AL19" s="883">
        <f>IF(ISNUMBER(NºAsuntos!G19/NºAsuntos!E19),NºAsuntos!G19/NºAsuntos!E19," - ")</f>
        <v>1.0057501306847882</v>
      </c>
      <c r="AM19" s="884">
        <f>IF(ISNUMBER(((NºAsuntos!I19/NºAsuntos!G19)*11)/factor_trimestre),((NºAsuntos!I19/NºAsuntos!G19)*11)/factor_trimestre," - ")</f>
        <v>8.9812889812889818</v>
      </c>
      <c r="AN19" s="884">
        <f>IF(ISNUMBER('Resol  Asuntos'!D19/NºAsuntos!G19),'Resol  Asuntos'!D19/NºAsuntos!G19," - ")</f>
        <v>0.20841995841995842</v>
      </c>
      <c r="AO19" s="885">
        <f>IF(ISNUMBER((NºAsuntos!C19+NºAsuntos!E19)/NºAsuntos!G19),(NºAsuntos!C19+NºAsuntos!E19)/NºAsuntos!G19," - ")</f>
        <v>3.9760914760914763</v>
      </c>
      <c r="AP19" s="886" t="str">
        <f t="shared" si="2"/>
        <v xml:space="preserve"> - </v>
      </c>
      <c r="AQ19" s="887">
        <f>IF(OR(ISNUMBER(FIND("01",Criterios!A8,1)),ISNUMBER(FIND("02",Criterios!A8,1)),ISNUMBER(FIND("03",Criterios!A8,1)),ISNUMBER(FIND("04",Criterios!A8,1))),(I19-W19+K19)/(F19-K19),(H19-W19+K19)/(F19-K19))</f>
        <v>-0.34543391945547364</v>
      </c>
      <c r="AR19" s="888">
        <f>IF(ISNUMBER((Datos!P19-Datos!Q19)/(Datos!R19-Datos!P19+Datos!Q19)),(Datos!P19-Datos!Q19)/(Datos!R19-Datos!P19+Datos!Q19)," - ")</f>
        <v>1.8255313600208632E-2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695.6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1017.8685245813102</v>
      </c>
      <c r="G21" s="252">
        <f>IF(ISNUMBER(STDEV(G8:G18)),STDEV(G8:G18),"-")</f>
        <v>943.36965183325674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333.56303752064616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124.10425724634375</v>
      </c>
      <c r="AJ21" s="251">
        <f t="shared" si="18"/>
        <v>0</v>
      </c>
      <c r="AK21" s="253">
        <f t="shared" si="18"/>
        <v>0</v>
      </c>
      <c r="AL21" s="248">
        <f t="shared" si="18"/>
        <v>0.32958579644398001</v>
      </c>
      <c r="AM21" s="249">
        <f t="shared" si="18"/>
        <v>0.88399677091953799</v>
      </c>
      <c r="AN21" s="249">
        <f t="shared" si="18"/>
        <v>4.0610288840337424E-3</v>
      </c>
      <c r="AO21" s="250">
        <f t="shared" si="18"/>
        <v>0.25661080604303044</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mYhO4oXApw9NpPkFAJnDTdfTLjqDRBWzwuk+4EAF7n7igptjqXD1FSH2NkjRDqOEoLfpK3gFnHivZprmMExqg==" saltValue="ffHDLZtmgbMpkOxtEgzH6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NOVELDA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-0.44444444444444442</v>
      </c>
      <c r="E10" s="347" t="str">
        <f>IF(ISNUMBER((Datos!J10-Datos!T10)/Datos!T10),(Datos!J10-Datos!T10)/Datos!T10," - ")</f>
        <v xml:space="preserve"> - </v>
      </c>
      <c r="F10" s="347">
        <f>IF(ISNUMBER((Datos!K10-Datos!U10)/Datos!U10),(Datos!K10-Datos!U10)/Datos!U10," - ")</f>
        <v>-1</v>
      </c>
      <c r="G10" s="348">
        <f>IF(ISNUMBER((Datos!L10-Datos!V10)/Datos!V10),(Datos!L10-Datos!V10)/Datos!V10," - ")</f>
        <v>-1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1.0948905109489052E-2</v>
      </c>
      <c r="I12" s="349">
        <f>IF(ISNUMBER((Tasas!C12-Datos!BE12)/Datos!BE12),(Tasas!C12-Datos!BE12)/Datos!BE12," - ")</f>
        <v>-0.1745100119298206</v>
      </c>
      <c r="J12" s="348">
        <f>IF(ISNUMBER((Tasas!D12-Datos!BF12)/Datos!BF12),(Tasas!D12-Datos!BF12)/Datos!BF12," - ")</f>
        <v>-5.6050773321135575E-2</v>
      </c>
      <c r="K12" s="350">
        <f>IF(ISNUMBER((Tasas!E12-Datos!BG12)/Datos!BG12),(Tasas!E12-Datos!BG12)/Datos!BG12," - ")</f>
        <v>-0.13509812594642792</v>
      </c>
      <c r="M12" t="e">
        <f>IF(Monitorios="SI",Datos!CE12,0)</f>
        <v>#REF!</v>
      </c>
      <c r="N12" t="e">
        <f>IF(Monitorios="SI",Datos!CF12,0)</f>
        <v>#REF!</v>
      </c>
      <c r="O12" t="e">
        <f>IF(Monitorios="SI",Datos!CG12,0)</f>
        <v>#REF!</v>
      </c>
      <c r="P12" t="e">
        <f>IF(Monitorios="SI",Datos!CH12,0)</f>
        <v>#REF!</v>
      </c>
      <c r="Q12">
        <f>IF(J_V="SI",0,Datos!AG12)</f>
        <v>50</v>
      </c>
      <c r="R12">
        <f>IF(J_V="SI",0,Datos!AH12)</f>
        <v>50</v>
      </c>
      <c r="S12">
        <f>IF(J_V="SI",0,Datos!AI12)</f>
        <v>65</v>
      </c>
      <c r="T12">
        <f>IF(J_V="SI",0,Datos!AJ12)</f>
        <v>35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-3.5971223021582736E-3</v>
      </c>
      <c r="I13" s="356">
        <f>IF(ISNUMBER((Tasas!C13-Datos!BE13)/Datos!BE13),(Tasas!C13-Datos!BE13)/Datos!BE13," - ")</f>
        <v>-0.17275220668944999</v>
      </c>
      <c r="J13" s="354">
        <f>IF(ISNUMBER((Tasas!D13-Datos!BF13)/Datos!BF13),(Tasas!D13-Datos!BF13)/Datos!BF13," - ")</f>
        <v>-6.6914519081819404E-2</v>
      </c>
      <c r="K13" s="357">
        <f>IF(ISNUMBER((Tasas!E13-Datos!BG13)/Datos!BG13),(Tasas!E13-Datos!BG13)/Datos!BG13," - ")</f>
        <v>-0.13281288992801768</v>
      </c>
      <c r="M13" t="e">
        <f>IF(Monitorios="SI",Datos!CE13,0)</f>
        <v>#REF!</v>
      </c>
      <c r="N13" t="e">
        <f>IF(Monitorios="SI",Datos!CF13,0)</f>
        <v>#REF!</v>
      </c>
      <c r="O13" t="e">
        <f>IF(Monitorios="SI",Datos!CG13,0)</f>
        <v>#REF!</v>
      </c>
      <c r="P13" t="e">
        <f>IF(Monitorios="SI",Datos!CH13,0)</f>
        <v>#REF!</v>
      </c>
      <c r="Q13">
        <f>IF(J_V="SI",0,Datos!AG13)</f>
        <v>50</v>
      </c>
      <c r="R13">
        <f>IF(J_V="SI",0,Datos!AH13)</f>
        <v>50</v>
      </c>
      <c r="S13">
        <f>IF(J_V="SI",0,Datos!AI13)</f>
        <v>65</v>
      </c>
      <c r="T13">
        <f>IF(J_V="SI",0,Datos!AJ13)</f>
        <v>35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0.32615384615384613</v>
      </c>
      <c r="E16" s="347">
        <f>IF(ISNUMBER(
   IF(D_I="SI",(Datos!J16-Datos!T16)/Datos!T16,(Datos!J16+Datos!AD16-(Datos!T16+Datos!AL16))/(Datos!T16+Datos!AL16))
     ),IF(D_I="SI",(Datos!J16-Datos!T16)/Datos!T16,(Datos!J16+Datos!AD16-(Datos!T16+Datos!AL16))/(Datos!T16+Datos!AL16))," - ")</f>
        <v>0.2662807525325615</v>
      </c>
      <c r="F16" s="347">
        <f>IF(ISNUMBER(
   IF(D_I="SI",(Datos!K16-Datos!U16)/Datos!U16,(Datos!K16+Datos!AE16-(Datos!U16+Datos!AM16))/(Datos!U16+Datos!AM16))
     ),IF(D_I="SI",(Datos!K16-Datos!U16)/Datos!U16,(Datos!K16+Datos!AE16-(Datos!U16+Datos!AM16))/(Datos!U16+Datos!AM16))," - ")</f>
        <v>-5.1401869158878503E-2</v>
      </c>
      <c r="G16" s="348">
        <f>IF(ISNUMBER(
   IF(D_I="SI",(Datos!L16-Datos!V16)/Datos!V16,(Datos!L16+Datos!AF16-(Datos!V16+Datos!AN16))/(Datos!V16+Datos!AN16))
     ),IF(D_I="SI",(Datos!L16-Datos!V16)/Datos!V16,(Datos!L16+Datos!AF16-(Datos!V16+Datos!AN16))/(Datos!V16+Datos!AN16))," - ")</f>
        <v>0.50296296296296295</v>
      </c>
      <c r="H16" s="229">
        <f>IF(ISNUMBER((Datos!M16-Datos!W16)/Datos!W16),(Datos!M16-Datos!W16)/Datos!W16," - ")</f>
        <v>-6.0606060606060608E-2</v>
      </c>
      <c r="I16" s="349">
        <f>IF(ISNUMBER((Tasas!C16-Datos!BE16)/Datos!BE16),(Tasas!C16-Datos!BE16)/Datos!BE16," - ")</f>
        <v>0.58440430578361613</v>
      </c>
      <c r="J16" s="348">
        <f>IF(ISNUMBER((Tasas!D16-Datos!BF16)/Datos!BF16),(Tasas!D16-Datos!BF16)/Datos!BF16," - ")</f>
        <v>-9.7029407374234662E-3</v>
      </c>
      <c r="K16" s="350">
        <f>IF(ISNUMBER((Tasas!E16-Datos!BG16)/Datos!BG16),(Tasas!E16-Datos!BG16)/Datos!BG16," - ")</f>
        <v>0.37610874551244139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-0.54545454545454541</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-0.16666666666666666</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0.31164901664145234</v>
      </c>
      <c r="E18" s="353">
        <f>IF(ISNUMBER(
   IF(D_I="SI",(Datos!J18-Datos!T18)/Datos!T18,(Datos!J18+Datos!AD18-(Datos!T18+Datos!AL18))/(Datos!T18+Datos!AL18))
     ),IF(D_I="SI",(Datos!J18-Datos!T18)/Datos!T18,(Datos!J18+Datos!AD18-(Datos!T18+Datos!AL18))/(Datos!T18+Datos!AL18))," - ")</f>
        <v>0.2662807525325615</v>
      </c>
      <c r="F18" s="353">
        <f>IF(ISNUMBER(
   IF(D_I="SI",(Datos!K18-Datos!U18)/Datos!U18,(Datos!K18+Datos!AE18-(Datos!U18+Datos!AM18))/(Datos!U18+Datos!AM18))
     ),IF(D_I="SI",(Datos!K18-Datos!U18)/Datos!U18,(Datos!K18+Datos!AE18-(Datos!U18+Datos!AM18))/(Datos!U18+Datos!AM18))," - ")</f>
        <v>-6.5950920245398767E-2</v>
      </c>
      <c r="G18" s="354">
        <f>IF(ISNUMBER(
   IF(D_I="SI",(Datos!L18-Datos!V18)/Datos!V18,(Datos!L18+Datos!AF18-(Datos!V18+Datos!AN18))/(Datos!V18+Datos!AN18))
     ),IF(D_I="SI",(Datos!L18-Datos!V18)/Datos!V18,(Datos!L18+Datos!AF18-(Datos!V18+Datos!AN18))/(Datos!V18+Datos!AN18))," - ")</f>
        <v>0.49706314243759175</v>
      </c>
      <c r="H18" s="355">
        <f>IF(ISNUMBER((Datos!M18-Datos!W18)/Datos!W18),(Datos!M18-Datos!W18)/Datos!W18," - ")</f>
        <v>-6.0606060606060608E-2</v>
      </c>
      <c r="I18" s="356">
        <f>IF(ISNUMBER((Tasas!C18-Datos!BE18)/Datos!BE18),(Tasas!C18-Datos!BE18)/Datos!BE18," - ")</f>
        <v>0.60276710815978618</v>
      </c>
      <c r="J18" s="354">
        <f>IF(ISNUMBER((Tasas!D18-Datos!BF18)/Datos!BF18),(Tasas!D18-Datos!BF18)/Datos!BF18," - ")</f>
        <v>5.722247101557467E-3</v>
      </c>
      <c r="K18" s="357">
        <f>IF(ISNUMBER((Tasas!E18-Datos!BG18)/Datos!BG18),(Tasas!E18-Datos!BG18)/Datos!BG18," - ")</f>
        <v>0.38758822987200625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5.1502932551319651E-2</v>
      </c>
      <c r="E19" s="362">
        <f>IF(ISNUMBER(
   IF(J_V="SI",(Datos!J19-Datos!T19)/Datos!T19,(Datos!J19+Datos!Z19-(Datos!T19+Datos!AH19))/(Datos!T19+Datos!AH19))
     ),IF(J_V="SI",(Datos!J19-Datos!T19)/Datos!T19,(Datos!J19+Datos!Z19-(Datos!T19+Datos!AH19))/(Datos!T19+Datos!AH19))," - ")</f>
        <v>3.7418655097613884E-2</v>
      </c>
      <c r="F19" s="362">
        <f>IF(ISNUMBER(
   IF(J_V="SI",(Datos!K19-Datos!U19)/Datos!U19,(Datos!K19+Datos!AA19-(Datos!U19+Datos!AI19))/(Datos!U19+Datos!AI19))
     ),IF(J_V="SI",(Datos!K19-Datos!U19)/Datos!U19,(Datos!K19+Datos!AA19-(Datos!U19+Datos!AI19))/(Datos!U19+Datos!AI19))," - ")</f>
        <v>4.1125541125541128E-2</v>
      </c>
      <c r="G19" s="363">
        <f>IF(ISNUMBER(
   IF(J_V="SI",(Datos!L19-Datos!V19)/Datos!V19,(Datos!L19+Datos!AB19-(Datos!V19+Datos!AJ19))/(Datos!V19+Datos!AJ19))
     ),IF(J_V="SI",(Datos!L19-Datos!V19)/Datos!V19,(Datos!L19+Datos!AB19-(Datos!V19+Datos!AJ19))/(Datos!V19+Datos!AJ19))," - ")</f>
        <v>5.6299284797359253E-2</v>
      </c>
      <c r="H19" s="364">
        <f>IF(ISNUMBER((Datos!M19-Datos!W19)/Datos!W19),(Datos!M19-Datos!W19)/Datos!W19," - ")</f>
        <v>-2.1951219512195121E-2</v>
      </c>
      <c r="I19" s="361">
        <f>IF(ISNUMBER((Tasas!C19-Datos!BE19)/Datos!BE19),(Tasas!C19-Datos!BE19)/Datos!BE19," - ")</f>
        <v>1.457436502365907E-2</v>
      </c>
      <c r="J19" s="362">
        <f>IF(ISNUMBER((Tasas!D19-Datos!BF19)/Datos!BF19),(Tasas!D19-Datos!BF19)/Datos!BF19," - ")</f>
        <v>-4.1890340397803046E-2</v>
      </c>
      <c r="K19" s="363">
        <f>IF(ISNUMBER((Tasas!E19-Datos!BG19)/Datos!BG19),(Tasas!E19-Datos!BG19)/Datos!BG19," - ")</f>
        <v>6.5502805228833489E-3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0.4717202721983767</v>
      </c>
      <c r="E21" s="277">
        <f t="shared" si="1"/>
        <v>0</v>
      </c>
      <c r="F21" s="277">
        <f t="shared" si="1"/>
        <v>0.54350589304830987</v>
      </c>
      <c r="G21" s="278">
        <f t="shared" si="1"/>
        <v>0.71201100607022993</v>
      </c>
      <c r="H21" s="284">
        <f t="shared" si="1"/>
        <v>0.43570116946195975</v>
      </c>
      <c r="I21" s="276">
        <f t="shared" si="1"/>
        <v>0.44301684858104989</v>
      </c>
      <c r="J21" s="277">
        <f t="shared" si="1"/>
        <v>3.5200910887132827E-2</v>
      </c>
      <c r="K21" s="278">
        <f t="shared" si="1"/>
        <v>0.29783791024633566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q6/RmqJ6LXmw7e1zHjilq5DlY7oflsR6f8q9slo2zryudbjUh+Zy2TkQFS+S70WhTpxQGh6xG5bljBOQH2PPw==" saltValue="8UK5B2078p4MlS/ep1vi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